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nUkBr+hsccEj0rfkmEvqPAaOkV5AkkZ1E49lykG7dpCf3shPtnzqRJbsiiMM2DoL2RxHflFaDNi659z3AF7uKg==" workbookSaltValue="6l3YKFoPD+t6zYWJ2xMFa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8" i="2" s="1"/>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AL13" i="16"/>
  <c r="S13" i="16"/>
  <c r="P13" i="16"/>
  <c r="AN13" i="20"/>
  <c r="Z13" i="17"/>
  <c r="AN17" i="11"/>
  <c r="M18" i="2"/>
  <c r="D17" i="6"/>
  <c r="H13" i="12"/>
  <c r="T13" i="12"/>
  <c r="BD9" i="8"/>
  <c r="BF9" i="8"/>
  <c r="I19" i="8"/>
  <c r="T13" i="20"/>
  <c r="T13" i="16"/>
  <c r="AP13" i="16"/>
  <c r="T18" i="17"/>
  <c r="J20" i="20"/>
  <c r="AF20" i="20"/>
  <c r="M20" i="20"/>
  <c r="AG20" i="20"/>
  <c r="S20" i="20"/>
  <c r="Z20" i="20"/>
  <c r="AM20" i="20"/>
  <c r="AK20" i="20"/>
  <c r="W20" i="21"/>
  <c r="K20" i="20"/>
  <c r="F20" i="20"/>
  <c r="Z19" i="8" l="1"/>
  <c r="G17" i="3"/>
  <c r="BF12" i="8"/>
  <c r="BA13" i="8"/>
  <c r="BG12" i="8"/>
  <c r="AC12" i="11"/>
  <c r="AA19" i="8"/>
  <c r="I10" i="3"/>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H12" i="7" s="1"/>
  <c r="L11" i="14"/>
  <c r="B17" i="6"/>
  <c r="AV18" i="21"/>
  <c r="R19" i="8"/>
  <c r="AB19" i="8"/>
  <c r="N11" i="11"/>
  <c r="I16" i="3"/>
  <c r="E16" i="3"/>
  <c r="G11" i="3"/>
  <c r="G12" i="3"/>
  <c r="E12" i="6"/>
  <c r="C18" i="2"/>
  <c r="D18" i="2" s="1"/>
  <c r="AO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V20" i="20"/>
  <c r="Y20" i="20"/>
  <c r="O10" i="11"/>
  <c r="AA20" i="20"/>
  <c r="T20" i="21"/>
  <c r="AJ20" i="20"/>
  <c r="Q20" i="20"/>
  <c r="AQ20" i="21"/>
  <c r="AU20" i="20"/>
  <c r="AD20" i="20"/>
  <c r="G18" i="14"/>
  <c r="AL20" i="20"/>
  <c r="AI20" i="20"/>
  <c r="U16" i="11"/>
  <c r="U12" i="11"/>
  <c r="U10" i="11"/>
  <c r="E20" i="20"/>
  <c r="I12" i="12" l="1"/>
  <c r="K10" i="12"/>
  <c r="X13" i="17"/>
  <c r="AM15" i="11"/>
  <c r="L11" i="2"/>
  <c r="U10" i="21"/>
  <c r="AA16" i="16"/>
  <c r="R12" i="14"/>
  <c r="L12" i="2"/>
  <c r="X17" i="17"/>
  <c r="J15" i="12"/>
  <c r="AM16" i="11"/>
  <c r="AQ13" i="21"/>
  <c r="V15" i="20"/>
  <c r="V18" i="20" s="1"/>
  <c r="AZ12" i="11"/>
  <c r="AA12" i="21"/>
  <c r="T17" i="20"/>
  <c r="X12" i="17"/>
  <c r="T15" i="11"/>
  <c r="AM9" i="11"/>
  <c r="S17" i="14"/>
  <c r="V17" i="14" s="1"/>
  <c r="X10" i="21"/>
  <c r="AZ17" i="11"/>
  <c r="V15" i="16"/>
  <c r="X12" i="21"/>
  <c r="X19" i="21" s="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H18" i="11" s="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J18" i="11" s="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H20" i="20"/>
  <c r="O16" i="11"/>
  <c r="H20" i="17"/>
  <c r="O20" i="20"/>
  <c r="S18" i="14" l="1"/>
  <c r="V13" i="21"/>
  <c r="V19" i="21" s="1"/>
  <c r="BU21" i="17"/>
  <c r="BV18" i="16"/>
  <c r="T18" i="16"/>
  <c r="T19" i="16"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U20" i="16"/>
  <c r="BS20" i="16"/>
  <c r="BM20" i="16"/>
  <c r="U20" i="11"/>
  <c r="AI20" i="16"/>
  <c r="Q20" i="21"/>
  <c r="AG20" i="11"/>
  <c r="F20" i="12"/>
  <c r="H20" i="11"/>
  <c r="V20" i="17"/>
  <c r="AY20" i="21"/>
  <c r="R20" i="11"/>
  <c r="V20" i="16"/>
  <c r="AL20" i="17"/>
  <c r="AD20" i="16"/>
  <c r="AI20" i="11"/>
  <c r="AZ20" i="16"/>
  <c r="J20" i="11"/>
  <c r="Z20" i="17"/>
  <c r="BN20" i="16"/>
  <c r="AW20" i="21"/>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BJ20" i="16"/>
  <c r="AQ20" i="16"/>
  <c r="J20" i="17"/>
  <c r="AJ20" i="21"/>
  <c r="AI20" i="21"/>
  <c r="AR20" i="11"/>
  <c r="R20" i="21"/>
  <c r="AW20" i="16"/>
  <c r="AO20" i="21"/>
  <c r="Q20" i="17"/>
  <c r="O20" i="17"/>
  <c r="AN20" i="11"/>
  <c r="AS20" i="17"/>
  <c r="BH20" i="16"/>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<sst xmlns="http://schemas.openxmlformats.org/spreadsheetml/2006/main" count="2094" uniqueCount="914">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</sst>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Z01hEaaawcwLLSxQ1C2G8ZwNIAAV6PfydbzYnvdiN/0J5ZpCKXLz2M0cmSkrhPf4E7dpO3Oahr6gv0MiVWC+g==" saltValue="gnED+TvyoGnNxwKJbPtC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13.270642201834862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71</v>
      </c>
      <c r="D16" s="228">
        <f>IF(ISNUMBER(IF(D_I="SI",Datos!I16,Datos!I16+Datos!AC16)),IF(D_I="SI",Datos!I16,Datos!I16+Datos!AC16)," - ")</f>
        <v>67</v>
      </c>
      <c r="E16" s="229">
        <f>IF(ISNUMBER(IF(D_I="SI",Datos!J16,Datos!J16+Datos!AD16)),IF(D_I="SI",Datos!J16,Datos!J16+Datos!AD16)," - ")</f>
        <v>271</v>
      </c>
      <c r="F16" s="229">
        <f>IF(ISNUMBER(IF(D_I="SI",Datos!K16,Datos!K16+Datos!AE16)),IF(D_I="SI",Datos!K16,Datos!K16+Datos!AE16)," - ")</f>
        <v>239</v>
      </c>
      <c r="G16" s="1037" t="str">
        <f>IF(Datos!E16&lt;&gt;"",Datos!E16,Datos!D16)</f>
        <v>04</v>
      </c>
      <c r="H16" s="230">
        <f>IF(ISNUMBER(IF(D_I="SI",Datos!L16,Datos!L16+Datos!AF16)),IF(D_I="SI",Datos!L16,Datos!L16+Datos!AF16)," - ")</f>
        <v>103</v>
      </c>
      <c r="I16" s="1047" t="str">
        <f>IF(ISNUMBER(Datos!AS16/Datos!BM16),Datos!AS16/Datos!BM16," - ")</f>
        <v xml:space="preserve"> - </v>
      </c>
      <c r="J16" s="1048">
        <f>IF(ISNUMBER(Datos!BY16/Datos!CN16),Datos!BY16/Datos!CN16," - ")</f>
        <v>0</v>
      </c>
      <c r="K16" s="233">
        <f t="shared" si="3"/>
        <v>0.45070422535211269</v>
      </c>
      <c r="L16" s="1028">
        <f>IF(ISNUMBER(NºAsuntos!I16/NºAsuntos!G16),(NºAsuntos!I16/NºAsuntos!G16)*11," - ")</f>
        <v>4.7405857740585775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v>
      </c>
      <c r="D17" s="228">
        <f>IF(ISNUMBER(IF(D_I="SI",Datos!I17,Datos!I17+Datos!AC17)),IF(D_I="SI",Datos!I17,Datos!I17+Datos!AC17)," - ")</f>
        <v>5</v>
      </c>
      <c r="E17" s="229">
        <f>IF(ISNUMBER(IF(D_I="SI",Datos!J17,Datos!J17+Datos!AD17)),IF(D_I="SI",Datos!J17,Datos!J17+Datos!AD17)," - ")</f>
        <v>18</v>
      </c>
      <c r="F17" s="229">
        <f>IF(ISNUMBER(IF(D_I="SI",Datos!K17,Datos!K17+Datos!AE17)),IF(D_I="SI",Datos!K17,Datos!K17+Datos!AE17)," - ")</f>
        <v>16</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0.4</v>
      </c>
      <c r="L17" s="1028">
        <f>IF(ISNUMBER(NºAsuntos!I17/NºAsuntos!G17),(NºAsuntos!I17/NºAsuntos!G17)*11," - ")</f>
        <v>4.8125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76</v>
      </c>
      <c r="D18" s="1052">
        <f>SUBTOTAL(9,D15:D17)</f>
        <v>72</v>
      </c>
      <c r="E18" s="1053">
        <f>SUBTOTAL(9,E15:E17)</f>
        <v>289</v>
      </c>
      <c r="F18" s="1053">
        <f>SUBTOTAL(9,F15:F17)</f>
        <v>255</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76</v>
      </c>
      <c r="D19" s="1074">
        <f>SUBTOTAL(9,D9:D18)</f>
        <v>72</v>
      </c>
      <c r="E19" s="1075">
        <f>SUBTOTAL(9,E9:E18)</f>
        <v>289</v>
      </c>
      <c r="F19" s="1075">
        <f>SUBTOTAL(9,F9:F18)</f>
        <v>255</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3GiHd5TBxnu5NTOUWZRgTglx7gQfT9JZgNq8q7ZUeLLKhLw2PqJu/yJruRPMXIyiPLeW76qbaRwJeG+8mgsm0Q==" saltValue="J6Te6+UvEuL9Lt02FVbmh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LwMf71hQsYdrIuL1PfaZGEairhULYwxEEyV2HK7ra61gikCEoLKnq7+jKsJOJRiqMAYVqTVDedIxdbwb01aA==" saltValue="e6fJhWE5JUXmiaHIimwM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184</v>
      </c>
      <c r="J12" s="186">
        <v>278</v>
      </c>
      <c r="K12" s="186">
        <v>205</v>
      </c>
      <c r="L12" s="186">
        <v>257</v>
      </c>
      <c r="M12" s="186">
        <v>52</v>
      </c>
      <c r="N12" s="186">
        <v>70</v>
      </c>
      <c r="O12" s="184">
        <v>96</v>
      </c>
      <c r="P12" s="186">
        <v>55</v>
      </c>
      <c r="Q12" s="186">
        <v>11</v>
      </c>
      <c r="R12" s="186">
        <v>230</v>
      </c>
      <c r="S12" s="186">
        <v>164</v>
      </c>
      <c r="T12" s="186">
        <v>260</v>
      </c>
      <c r="U12" s="186">
        <v>240</v>
      </c>
      <c r="V12" s="186">
        <v>184</v>
      </c>
      <c r="W12" s="186">
        <v>45</v>
      </c>
      <c r="X12" s="192">
        <v>147</v>
      </c>
      <c r="Y12" s="194">
        <v>2</v>
      </c>
      <c r="Z12" s="184">
        <v>17</v>
      </c>
      <c r="AA12" s="184">
        <v>13</v>
      </c>
      <c r="AB12" s="184">
        <v>6</v>
      </c>
      <c r="AC12" s="186">
        <v>0</v>
      </c>
      <c r="AD12" s="186">
        <v>0</v>
      </c>
      <c r="AE12" s="186">
        <v>0</v>
      </c>
      <c r="AF12" s="192">
        <v>0</v>
      </c>
      <c r="AG12" s="205">
        <v>5</v>
      </c>
      <c r="AH12" s="186">
        <v>17</v>
      </c>
      <c r="AI12" s="186">
        <v>20</v>
      </c>
      <c r="AJ12" s="206">
        <v>2</v>
      </c>
      <c r="AK12" s="185">
        <v>0</v>
      </c>
      <c r="AL12" s="186">
        <v>0</v>
      </c>
      <c r="AM12" s="186">
        <v>0</v>
      </c>
      <c r="AN12" s="192">
        <v>0</v>
      </c>
      <c r="AO12" s="262">
        <v>1</v>
      </c>
      <c r="AP12" s="158">
        <v>1</v>
      </c>
      <c r="AQ12" s="158">
        <v>1</v>
      </c>
      <c r="AR12" s="157">
        <v>1</v>
      </c>
      <c r="AS12" s="343" t="s">
        <v>803</v>
      </c>
      <c r="AT12" s="206"/>
      <c r="AU12" s="205"/>
      <c r="AV12" s="206"/>
      <c r="AW12" s="205"/>
      <c r="AX12" s="206"/>
      <c r="AY12" s="126">
        <f t="shared" si="1"/>
        <v>169</v>
      </c>
      <c r="AZ12" s="127">
        <f t="shared" si="1"/>
        <v>277</v>
      </c>
      <c r="BA12" s="127">
        <f t="shared" si="1"/>
        <v>260</v>
      </c>
      <c r="BB12" s="127">
        <f t="shared" si="1"/>
        <v>186</v>
      </c>
      <c r="BC12" s="125">
        <f>IF(ISNUMBER(X12),X12," - ")</f>
        <v>147</v>
      </c>
      <c r="BD12" s="126">
        <f t="shared" si="2"/>
        <v>0.93862815884476536</v>
      </c>
      <c r="BE12" s="127">
        <f t="shared" si="3"/>
        <v>0.7153846153846154</v>
      </c>
      <c r="BF12" s="127">
        <f t="shared" si="4"/>
        <v>0.56538461538461537</v>
      </c>
      <c r="BG12" s="199">
        <f t="shared" si="5"/>
        <v>1.7153846153846153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184</v>
      </c>
      <c r="J13" s="187">
        <f t="shared" si="6"/>
        <v>278</v>
      </c>
      <c r="K13" s="187">
        <f t="shared" si="6"/>
        <v>205</v>
      </c>
      <c r="L13" s="187">
        <f t="shared" si="6"/>
        <v>257</v>
      </c>
      <c r="M13" s="187">
        <f t="shared" si="6"/>
        <v>52</v>
      </c>
      <c r="N13" s="187">
        <f t="shared" si="6"/>
        <v>70</v>
      </c>
      <c r="O13" s="187">
        <f t="shared" si="6"/>
        <v>96</v>
      </c>
      <c r="P13" s="187">
        <f t="shared" si="6"/>
        <v>55</v>
      </c>
      <c r="Q13" s="187">
        <f t="shared" si="6"/>
        <v>11</v>
      </c>
      <c r="R13" s="187">
        <f t="shared" si="6"/>
        <v>230</v>
      </c>
      <c r="S13" s="187">
        <f t="shared" si="6"/>
        <v>164</v>
      </c>
      <c r="T13" s="187">
        <f t="shared" si="6"/>
        <v>260</v>
      </c>
      <c r="U13" s="187">
        <f t="shared" si="6"/>
        <v>240</v>
      </c>
      <c r="V13" s="187">
        <f t="shared" si="6"/>
        <v>184</v>
      </c>
      <c r="W13" s="187">
        <f t="shared" si="6"/>
        <v>45</v>
      </c>
      <c r="X13" s="187">
        <f t="shared" si="6"/>
        <v>147</v>
      </c>
      <c r="Y13" s="187">
        <f t="shared" si="6"/>
        <v>2</v>
      </c>
      <c r="Z13" s="187">
        <f t="shared" si="6"/>
        <v>17</v>
      </c>
      <c r="AA13" s="187">
        <f t="shared" si="6"/>
        <v>13</v>
      </c>
      <c r="AB13" s="187">
        <f t="shared" si="6"/>
        <v>6</v>
      </c>
      <c r="AC13" s="187">
        <f t="shared" si="6"/>
        <v>0</v>
      </c>
      <c r="AD13" s="187">
        <f t="shared" si="6"/>
        <v>0</v>
      </c>
      <c r="AE13" s="187">
        <f t="shared" si="6"/>
        <v>0</v>
      </c>
      <c r="AF13" s="187">
        <f>SUBTOTAL(9,AF9:AF12)</f>
        <v>0</v>
      </c>
      <c r="AG13" s="187">
        <f t="shared" ref="AG13:AT13" si="7">SUBTOTAL(9,AG8:AG12)</f>
        <v>5</v>
      </c>
      <c r="AH13" s="187">
        <f t="shared" si="7"/>
        <v>17</v>
      </c>
      <c r="AI13" s="187">
        <f t="shared" si="7"/>
        <v>20</v>
      </c>
      <c r="AJ13" s="187">
        <f t="shared" si="7"/>
        <v>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169</v>
      </c>
      <c r="AZ13" s="187">
        <f>SUBTOTAL(9,AZ8:AZ12)</f>
        <v>277</v>
      </c>
      <c r="BA13" s="187">
        <f>SUBTOTAL(9,BA8:BA12)</f>
        <v>260</v>
      </c>
      <c r="BB13" s="187">
        <f>SUBTOTAL(9,BB8:BB12)</f>
        <v>186</v>
      </c>
      <c r="BC13" s="187">
        <f>SUBTOTAL(9,BC8:BC12)</f>
        <v>147</v>
      </c>
      <c r="BD13" s="208">
        <f>IF(ISNUMBER(BA13/AZ13),BA13/AZ13," - ")</f>
        <v>0.93862815884476536</v>
      </c>
      <c r="BE13" s="209">
        <f>IF(ISNUMBER(BB13/BA13),BB13/BA13, " - ")</f>
        <v>0.7153846153846154</v>
      </c>
      <c r="BF13" s="209">
        <f>IF(ISNUMBER(BC13/BA13),BC13/BA13, " - ")</f>
        <v>0.56538461538461537</v>
      </c>
      <c r="BG13" s="210">
        <f>IF(ISNUMBER((AY13+AZ13)/BA13),(AY13+AZ13)/BA13," - ")</f>
        <v>1.7153846153846153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67</v>
      </c>
      <c r="J16" s="186">
        <v>271</v>
      </c>
      <c r="K16" s="186">
        <v>239</v>
      </c>
      <c r="L16" s="186">
        <v>103</v>
      </c>
      <c r="M16" s="186">
        <v>42</v>
      </c>
      <c r="N16" s="186">
        <v>144</v>
      </c>
      <c r="O16" s="184">
        <v>0</v>
      </c>
      <c r="P16" s="186">
        <v>10</v>
      </c>
      <c r="Q16" s="186">
        <v>6</v>
      </c>
      <c r="R16" s="186">
        <v>27</v>
      </c>
      <c r="S16" s="186">
        <v>123</v>
      </c>
      <c r="T16" s="186">
        <v>341</v>
      </c>
      <c r="U16" s="186">
        <v>399</v>
      </c>
      <c r="V16" s="186">
        <v>67</v>
      </c>
      <c r="W16" s="186">
        <v>66</v>
      </c>
      <c r="X16" s="192">
        <v>240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123</v>
      </c>
      <c r="AZ16" s="127">
        <f t="shared" si="9"/>
        <v>341</v>
      </c>
      <c r="BA16" s="127">
        <f t="shared" si="9"/>
        <v>399</v>
      </c>
      <c r="BB16" s="127">
        <f t="shared" si="9"/>
        <v>67</v>
      </c>
      <c r="BC16" s="125">
        <f>IF(ISNUMBER(W16),W16," - ")</f>
        <v>66</v>
      </c>
      <c r="BD16" s="126">
        <f t="shared" ref="BD16" si="11">IF(ISNUMBER(BA16/AZ16),BA16/AZ16," - ")</f>
        <v>1.1700879765395895</v>
      </c>
      <c r="BE16" s="127">
        <f t="shared" ref="BE16" si="12">IF(ISNUMBER(BB16/BA16),BB16/BA16, " - ")</f>
        <v>0.16791979949874686</v>
      </c>
      <c r="BF16" s="127">
        <f t="shared" ref="BF16" si="13">IF(ISNUMBER(BC16/BA16),BC16/BA16, " - ")</f>
        <v>0.16541353383458646</v>
      </c>
      <c r="BG16" s="199">
        <f t="shared" si="10"/>
        <v>1.162907268170426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v>
      </c>
      <c r="J17" s="186">
        <v>18</v>
      </c>
      <c r="K17" s="186">
        <v>16</v>
      </c>
      <c r="L17" s="186">
        <v>7</v>
      </c>
      <c r="M17" s="186">
        <v>2</v>
      </c>
      <c r="N17" s="186">
        <v>16</v>
      </c>
      <c r="O17" s="186">
        <v>0</v>
      </c>
      <c r="P17" s="186">
        <v>0</v>
      </c>
      <c r="Q17" s="186">
        <v>0</v>
      </c>
      <c r="R17" s="186">
        <v>0</v>
      </c>
      <c r="S17" s="186">
        <v>10</v>
      </c>
      <c r="T17" s="186">
        <v>20</v>
      </c>
      <c r="U17" s="186">
        <v>25</v>
      </c>
      <c r="V17" s="186">
        <v>5</v>
      </c>
      <c r="W17" s="186">
        <v>2</v>
      </c>
      <c r="X17" s="192">
        <v>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v>
      </c>
      <c r="AZ17" s="129">
        <f t="shared" si="14"/>
        <v>20</v>
      </c>
      <c r="BA17" s="129">
        <f t="shared" si="14"/>
        <v>25</v>
      </c>
      <c r="BB17" s="129">
        <f t="shared" si="14"/>
        <v>5</v>
      </c>
      <c r="BC17" s="125">
        <f>IF(ISNUMBER(W17),W17," - ")</f>
        <v>2</v>
      </c>
      <c r="BD17" s="126">
        <f>IF(ISNUMBER(BA17/AZ17),BA17/AZ17," - ")</f>
        <v>1.25</v>
      </c>
      <c r="BE17" s="127">
        <f>IF(ISNUMBER(BB17/BA17),BB17/BA17, " - ")</f>
        <v>0.2</v>
      </c>
      <c r="BF17" s="127">
        <f>IF(ISNUMBER(BC17/BA17),BC17/BA17, " - ")</f>
        <v>0.08</v>
      </c>
      <c r="BG17" s="199">
        <f>IF(ISNUMBER((AY17+AZ17)/BA17),(AY17+AZ17)/BA17," - ")</f>
        <v>1.2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72</v>
      </c>
      <c r="J18" s="187">
        <f t="shared" si="15"/>
        <v>289</v>
      </c>
      <c r="K18" s="187">
        <f t="shared" si="15"/>
        <v>255</v>
      </c>
      <c r="L18" s="187">
        <f t="shared" si="15"/>
        <v>110</v>
      </c>
      <c r="M18" s="187">
        <f t="shared" si="15"/>
        <v>44</v>
      </c>
      <c r="N18" s="187">
        <f t="shared" si="15"/>
        <v>160</v>
      </c>
      <c r="O18" s="187">
        <f t="shared" si="15"/>
        <v>0</v>
      </c>
      <c r="P18" s="187">
        <f t="shared" si="15"/>
        <v>10</v>
      </c>
      <c r="Q18" s="187">
        <f t="shared" si="15"/>
        <v>6</v>
      </c>
      <c r="R18" s="187">
        <f t="shared" si="15"/>
        <v>27</v>
      </c>
      <c r="S18" s="187">
        <f t="shared" si="15"/>
        <v>133</v>
      </c>
      <c r="T18" s="187">
        <f t="shared" si="15"/>
        <v>361</v>
      </c>
      <c r="U18" s="187">
        <f t="shared" si="15"/>
        <v>424</v>
      </c>
      <c r="V18" s="187">
        <f t="shared" si="15"/>
        <v>72</v>
      </c>
      <c r="W18" s="187">
        <f t="shared" si="15"/>
        <v>68</v>
      </c>
      <c r="X18" s="187">
        <f t="shared" si="15"/>
        <v>263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133</v>
      </c>
      <c r="AZ18" s="187">
        <f>SUBTOTAL(9,AZ14:AZ17)</f>
        <v>361</v>
      </c>
      <c r="BA18" s="187">
        <f>SUBTOTAL(9,BA14:BA17)</f>
        <v>424</v>
      </c>
      <c r="BB18" s="187">
        <f>SUBTOTAL(9,BB14:BB17)</f>
        <v>72</v>
      </c>
      <c r="BC18" s="187">
        <f>SUBTOTAL(9,BC14:BC17)</f>
        <v>68</v>
      </c>
      <c r="BD18" s="208">
        <f>IF(ISNUMBER(BA18/AZ18),BA18/AZ18," - ")</f>
        <v>1.1745152354570638</v>
      </c>
      <c r="BE18" s="209">
        <f>IF(ISNUMBER(BB18/BA18),BB18/BA18, " - ")</f>
        <v>0.16981132075471697</v>
      </c>
      <c r="BF18" s="209">
        <f>IF(ISNUMBER(BC18/BA18),BC18/BA18, " - ")</f>
        <v>0.16037735849056603</v>
      </c>
      <c r="BG18" s="210">
        <f>IF(ISNUMBER((AY18+AZ18)/BA18),(AY18+AZ18)/BA18," - ")</f>
        <v>1.1650943396226414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256</v>
      </c>
      <c r="J19" s="134">
        <f t="shared" si="18"/>
        <v>567</v>
      </c>
      <c r="K19" s="134">
        <f t="shared" si="18"/>
        <v>460</v>
      </c>
      <c r="L19" s="134">
        <f t="shared" si="18"/>
        <v>367</v>
      </c>
      <c r="M19" s="134">
        <f t="shared" si="18"/>
        <v>96</v>
      </c>
      <c r="N19" s="134">
        <f t="shared" si="18"/>
        <v>230</v>
      </c>
      <c r="O19" s="134">
        <f t="shared" si="18"/>
        <v>96</v>
      </c>
      <c r="P19" s="134">
        <f t="shared" si="18"/>
        <v>65</v>
      </c>
      <c r="Q19" s="134">
        <f t="shared" si="18"/>
        <v>17</v>
      </c>
      <c r="R19" s="134">
        <f t="shared" si="18"/>
        <v>257</v>
      </c>
      <c r="S19" s="134">
        <f t="shared" si="18"/>
        <v>297</v>
      </c>
      <c r="T19" s="134">
        <f t="shared" si="18"/>
        <v>621</v>
      </c>
      <c r="U19" s="134">
        <f t="shared" si="18"/>
        <v>664</v>
      </c>
      <c r="V19" s="134">
        <f t="shared" si="18"/>
        <v>256</v>
      </c>
      <c r="W19" s="134">
        <f t="shared" si="18"/>
        <v>113</v>
      </c>
      <c r="X19" s="134">
        <f t="shared" si="18"/>
        <v>410</v>
      </c>
      <c r="Y19" s="134">
        <f t="shared" si="18"/>
        <v>2</v>
      </c>
      <c r="Z19" s="134">
        <f t="shared" si="18"/>
        <v>17</v>
      </c>
      <c r="AA19" s="134">
        <f t="shared" si="18"/>
        <v>13</v>
      </c>
      <c r="AB19" s="134">
        <f t="shared" si="18"/>
        <v>6</v>
      </c>
      <c r="AC19" s="134">
        <f t="shared" si="18"/>
        <v>0</v>
      </c>
      <c r="AD19" s="134">
        <f t="shared" si="18"/>
        <v>0</v>
      </c>
      <c r="AE19" s="134">
        <f t="shared" si="18"/>
        <v>0</v>
      </c>
      <c r="AF19" s="134">
        <f t="shared" si="18"/>
        <v>0</v>
      </c>
      <c r="AG19" s="134">
        <f t="shared" si="18"/>
        <v>5</v>
      </c>
      <c r="AH19" s="134">
        <f t="shared" si="18"/>
        <v>17</v>
      </c>
      <c r="AI19" s="134">
        <f t="shared" si="18"/>
        <v>20</v>
      </c>
      <c r="AJ19" s="134">
        <f t="shared" si="18"/>
        <v>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302</v>
      </c>
      <c r="AZ19" s="134">
        <f>SUBTOTAL(9,AZ9:AZ18)</f>
        <v>638</v>
      </c>
      <c r="BA19" s="134">
        <f>SUBTOTAL(9,BA9:BA18)</f>
        <v>684</v>
      </c>
      <c r="BB19" s="134">
        <f>SUBTOTAL(9,BB9:BB18)</f>
        <v>258</v>
      </c>
      <c r="BC19" s="135">
        <f>SUBTOTAL(9,BC9:BC18)</f>
        <v>215</v>
      </c>
      <c r="BD19" s="216">
        <f>IF(ISNUMBER(BA19/AZ19),BA19/AZ19," - ")</f>
        <v>1.0721003134796239</v>
      </c>
      <c r="BE19" s="213">
        <f>IF(ISNUMBER(BB19/BA19),BB19/BA19, " - ")</f>
        <v>0.37719298245614036</v>
      </c>
      <c r="BF19" s="213">
        <f>IF(ISNUMBER(BC19/BA19),BC19/BA19, " - ")</f>
        <v>0.31432748538011696</v>
      </c>
      <c r="BG19" s="135">
        <f>IF(ISNUMBER((AY19+AZ19)/BA19),(AY19+AZ19)/BA19," - ")</f>
        <v>1.3742690058479532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CPD4U+9Yzq7zCYBKxvSUD1ZCc9DLHS3D0w6Ttj3zWnN4BNBN5z0+OAGLUy7VG8FxE06EirvoPTtnrr7nDBZXw==" saltValue="DXbwdhttS9SoQsF2/yn5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y6ukeTQ448uAK1pb3PrHj5fOU7oVfZ7Efbe0izH1kZzqsXI9aeYr/4XbTTrj6kKc8T3HAs2l+JtVv9sR6IQAw==" saltValue="R1LiI0vzcHHIXo1RqFHK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LERMA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v>
      </c>
      <c r="O12" s="337"/>
      <c r="P12" s="337"/>
      <c r="Q12" s="229">
        <f>IF(ISNUMBER(Datos!P12),Datos!P12,0)</f>
        <v>55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v>
      </c>
      <c r="AI12" s="337" t="str">
        <f>IF(ISNUMBER(Datos!CD12),Datos!CD12,"-")</f>
        <v>-</v>
      </c>
      <c r="AJ12" s="337" t="str">
        <f>IF(ISNUMBER(Datos!EN12),Datos!EN12," - ")</f>
        <v xml:space="preserve"> - </v>
      </c>
      <c r="AK12" s="337"/>
      <c r="AL12" s="482"/>
      <c r="AM12" s="338">
        <f>IF(ISNUMBER(Datos!R12),Datos!R12," - ")</f>
        <v>230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52</v>
      </c>
      <c r="BD12" s="232">
        <f>IF(ISNUMBER(Datos!N12),Datos!N12," - ")</f>
        <v>70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0.73898305084745763</v>
      </c>
      <c r="BH12" s="263">
        <f>IF(ISNUMBER(((IF(J_V="SI",Datos!L12/Datos!K12,(Datos!L12+Datos!AB12)/(Datos!K12+Datos!AA12)))*11)/factor_trimestre),((IF(J_V="SI",Datos!L12/Datos!K12,(Datos!L12+Datos!AB12)/(Datos!K12+Datos!AA12)))*11)/factor_trimestre," - ")</f>
        <v>13.270642201834862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0.23655913978494625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17</v>
      </c>
      <c r="O13" s="903">
        <f t="shared" si="0"/>
        <v>0</v>
      </c>
      <c r="P13" s="903">
        <f t="shared" si="0"/>
        <v>0</v>
      </c>
      <c r="Q13" s="902">
        <f t="shared" si="0"/>
        <v>55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11</v>
      </c>
      <c r="AD13" s="902">
        <f t="shared" si="1"/>
        <v>0</v>
      </c>
      <c r="AE13" s="902">
        <f t="shared" si="1"/>
        <v>0</v>
      </c>
      <c r="AF13" s="902">
        <f t="shared" si="1"/>
        <v>0</v>
      </c>
      <c r="AG13" s="902">
        <f t="shared" si="1"/>
        <v>0</v>
      </c>
      <c r="AH13" s="902">
        <f t="shared" si="1"/>
        <v>6</v>
      </c>
      <c r="AI13" s="902">
        <f t="shared" si="1"/>
        <v>0</v>
      </c>
      <c r="AJ13" s="902">
        <f t="shared" si="1"/>
        <v>0</v>
      </c>
      <c r="AK13" s="902">
        <f t="shared" si="1"/>
        <v>0</v>
      </c>
      <c r="AL13" s="902">
        <f t="shared" si="1"/>
        <v>0</v>
      </c>
      <c r="AM13" s="902">
        <f t="shared" si="1"/>
        <v>230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52</v>
      </c>
      <c r="BD13" s="902">
        <f t="shared" si="1"/>
        <v>70</v>
      </c>
      <c r="BE13" s="902">
        <f t="shared" si="1"/>
        <v>0</v>
      </c>
      <c r="BF13" s="902">
        <f t="shared" si="1"/>
        <v>0</v>
      </c>
      <c r="BG13" s="902">
        <f>IF(ISNUMBER(Datos!K13/Datos!J13),Datos!K13/Datos!J13," - ")</f>
        <v>0.73741007194244601</v>
      </c>
      <c r="BH13" s="906">
        <f>IF(ISNUMBER(((Datos!L13/Datos!K13)*11)/factor_trimestre),((Datos!L13/Datos!K13)*11)/factor_trimestre," - ")</f>
        <v>13.790243902439025</v>
      </c>
      <c r="BI13" s="902">
        <f>IF(ISNUMBER('Resol  Asuntos'!D13/NºAsuntos!G13),'Resol  Asuntos'!D13/NºAsuntos!G13," - ")</f>
        <v>0.23853211009174313</v>
      </c>
      <c r="BJ13" s="902" t="str">
        <f>IF(ISNUMBER(Datos!CI13/Datos!CJ13),Datos!CI13/Datos!CJ13," - ")</f>
        <v xml:space="preserve"> - </v>
      </c>
      <c r="BK13" s="902">
        <f>SUBTOTAL(9,BK8:BK12)</f>
        <v>0</v>
      </c>
      <c r="BL13" s="902" t="str">
        <f>IF(ISNUMBER((I13-AB13+L13)/(F13)),(I13-AB13+L13)/(F13)," - ")</f>
        <v xml:space="preserve"> - </v>
      </c>
      <c r="BM13" s="907">
        <f>SUBTOTAL(9,BM9:BM12)</f>
        <v>0.23655913978494625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71</v>
      </c>
      <c r="G16" s="601">
        <f>IF(ISNUMBER(IF(D_I="SI",Datos!I16,Datos!I16+Datos!AC16)),IF(D_I="SI",Datos!I16,Datos!I16+Datos!AC16)," - ")</f>
        <v>67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239</v>
      </c>
      <c r="AC16" s="229">
        <f>IF(ISNUMBER(Datos!Q16),Datos!Q16," - ")</f>
        <v>6</v>
      </c>
      <c r="AD16" s="337"/>
      <c r="AE16" s="487"/>
      <c r="AF16" s="599">
        <f>IF(ISNUMBER(IF(D_I="SI",Datos!L16,Datos!L16+Datos!AF16)),IF(D_I="SI",Datos!L16,Datos!L16+Datos!AF16)," - ")</f>
        <v>103</v>
      </c>
      <c r="AG16" s="337"/>
      <c r="AH16" s="337"/>
      <c r="AI16" s="337"/>
      <c r="AJ16" s="337"/>
      <c r="AK16" s="337"/>
      <c r="AL16" s="482"/>
      <c r="AM16" s="338">
        <f>IF(ISNUMBER(Datos!R16),Datos!R16," - ")</f>
        <v>27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42</v>
      </c>
      <c r="BD16" s="232">
        <f>IF(ISNUMBER(Datos!N16),Datos!N16," - ")</f>
        <v>144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0.88191881918819193</v>
      </c>
      <c r="BH16" s="263">
        <f>IF(ISNUMBER(((IF(D_I="SI",Datos!L16/Datos!K16,(Datos!L16+Datos!AF16)/(Datos!K16+Datos!AE16)))*11)/factor_trimestre),((IF(D_I="SI",Datos!L16/Datos!K16,(Datos!L16+Datos!AF16)/(Datos!K16+Datos!AE16)))*11)/factor_trimestre," - ")</f>
        <v>4.7405857740585775</v>
      </c>
      <c r="BI16" s="246">
        <f>IF(ISNUMBER('Resol  Asuntos'!D16/NºAsuntos!G16),'Resol  Asuntos'!D16/NºAsuntos!G16," - ")</f>
        <v>0.17573221757322174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16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0.88888888888888884</v>
      </c>
      <c r="BH17" s="263">
        <f>IF(ISNUMBER(((IF(D_I="SI",Datos!L17/Datos!K17,(Datos!L17+Datos!AF17)/(Datos!K17+Datos!AE17)))*11)/factor_trimestre),((IF(D_I="SI",Datos!L17/Datos!K17,(Datos!L17+Datos!AF17)/(Datos!K17+Datos!AE17)))*11)/factor_trimestre," - ")</f>
        <v>4.8125</v>
      </c>
      <c r="BI17" s="246">
        <f>IF(ISNUMBER('Resol  Asuntos'!D17/NºAsuntos!G17),'Resol  Asuntos'!D17/NºAsuntos!G17," - ")</f>
        <v>0.125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71</v>
      </c>
      <c r="G18" s="901">
        <f>SUBTOTAL(9,G15:G17)</f>
        <v>72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255</v>
      </c>
      <c r="AC18" s="902">
        <f t="shared" si="4"/>
        <v>6</v>
      </c>
      <c r="AD18" s="902">
        <f t="shared" si="4"/>
        <v>0</v>
      </c>
      <c r="AE18" s="902">
        <f t="shared" si="4"/>
        <v>0</v>
      </c>
      <c r="AF18" s="902">
        <f t="shared" si="4"/>
        <v>110</v>
      </c>
      <c r="AG18" s="902">
        <f t="shared" si="4"/>
        <v>0</v>
      </c>
      <c r="AH18" s="902">
        <f t="shared" si="4"/>
        <v>0</v>
      </c>
      <c r="AI18" s="902">
        <f t="shared" si="4"/>
        <v>0</v>
      </c>
      <c r="AJ18" s="902">
        <f t="shared" si="4"/>
        <v>0</v>
      </c>
      <c r="AK18" s="902">
        <f t="shared" si="4"/>
        <v>0</v>
      </c>
      <c r="AL18" s="902">
        <f t="shared" si="4"/>
        <v>0</v>
      </c>
      <c r="AM18" s="902">
        <f t="shared" si="4"/>
        <v>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44</v>
      </c>
      <c r="BD18" s="902">
        <f t="shared" si="4"/>
        <v>160</v>
      </c>
      <c r="BE18" s="902">
        <f t="shared" si="4"/>
        <v>0</v>
      </c>
      <c r="BF18" s="902">
        <f t="shared" si="4"/>
        <v>0</v>
      </c>
      <c r="BG18" s="902">
        <f>IF(ISNUMBER(Datos!K18/Datos!J18),Datos!K18/Datos!J18," - ")</f>
        <v>0.88235294117647056</v>
      </c>
      <c r="BH18" s="906">
        <f>IF(ISNUMBER(((Datos!L18/Datos!K18)*11)/factor_trimestre),((Datos!L18/Datos!K18)*11)/factor_trimestre," - ")</f>
        <v>4.7450980392156863</v>
      </c>
      <c r="BI18" s="902">
        <f>SUBTOTAL(9,BI15:BI17)</f>
        <v>0.30073221757322177</v>
      </c>
      <c r="BJ18" s="902">
        <f>SUBTOTAL(9,BJ15:BJ17)</f>
        <v>0</v>
      </c>
      <c r="BK18" s="902">
        <f>SUBTOTAL(9,BK15:BK17)</f>
        <v>0</v>
      </c>
      <c r="BL18" s="902">
        <f>IF(ISNUMBER((I18-AB18+L18)/(F18)),(I18-AB18+L18)/(F18)," - ")</f>
        <v>-3.591549295774648</v>
      </c>
      <c r="BM18" s="908">
        <f>IF(ISNUMBER((Datos!P18-Datos!Q18)/(Datos!R18-Datos!P18+Datos!Q18)),(Datos!P18-Datos!Q18)/(Datos!R18-Datos!P18+Datos!Q18)," - ")</f>
        <v>0.17391304347826086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71</v>
      </c>
      <c r="G19" s="823">
        <f t="shared" si="6"/>
        <v>72</v>
      </c>
      <c r="H19" s="825">
        <f t="shared" si="6"/>
        <v>0</v>
      </c>
      <c r="I19" s="823">
        <f t="shared" si="6"/>
        <v>0</v>
      </c>
      <c r="J19" s="825">
        <f t="shared" si="6"/>
        <v>0</v>
      </c>
      <c r="K19" s="825">
        <f t="shared" si="6"/>
        <v>0</v>
      </c>
      <c r="L19" s="884">
        <f t="shared" si="6"/>
        <v>0</v>
      </c>
      <c r="M19" s="884">
        <f t="shared" si="6"/>
        <v>0</v>
      </c>
      <c r="N19" s="884">
        <f t="shared" si="6"/>
        <v>17</v>
      </c>
      <c r="O19" s="884">
        <f t="shared" si="6"/>
        <v>0</v>
      </c>
      <c r="P19" s="884">
        <f t="shared" si="6"/>
        <v>0</v>
      </c>
      <c r="Q19" s="825">
        <f t="shared" si="6"/>
        <v>65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255</v>
      </c>
      <c r="AC19" s="824">
        <f t="shared" si="7"/>
        <v>17</v>
      </c>
      <c r="AD19" s="824">
        <f t="shared" si="7"/>
        <v>0</v>
      </c>
      <c r="AE19" s="824">
        <f t="shared" si="7"/>
        <v>0</v>
      </c>
      <c r="AF19" s="831">
        <f t="shared" si="7"/>
        <v>110</v>
      </c>
      <c r="AG19" s="831">
        <f t="shared" si="7"/>
        <v>0</v>
      </c>
      <c r="AH19" s="831">
        <f t="shared" si="7"/>
        <v>6</v>
      </c>
      <c r="AI19" s="831">
        <f t="shared" si="7"/>
        <v>0</v>
      </c>
      <c r="AJ19" s="824">
        <f t="shared" si="7"/>
        <v>0</v>
      </c>
      <c r="AK19" s="831">
        <f t="shared" si="7"/>
        <v>0</v>
      </c>
      <c r="AL19" s="831">
        <f t="shared" si="7"/>
        <v>0</v>
      </c>
      <c r="AM19" s="831">
        <f t="shared" si="7"/>
        <v>257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96</v>
      </c>
      <c r="BD19" s="823">
        <f t="shared" si="7"/>
        <v>230</v>
      </c>
      <c r="BE19" s="823">
        <f t="shared" si="7"/>
        <v>0</v>
      </c>
      <c r="BF19" s="833">
        <f t="shared" si="7"/>
        <v>0</v>
      </c>
      <c r="BG19" s="918">
        <f>IF(ISNUMBER(Datos!K19/Datos!J19),Datos!K19/Datos!J19," - ")</f>
        <v>0.81128747795414458</v>
      </c>
      <c r="BH19" s="918">
        <f>IF(ISNUMBER(((Datos!L19/Datos!K19)*11)/factor_trimestre),((Datos!L19/Datos!K19)*11)/factor_trimestre," - ")</f>
        <v>8.7760869565217376</v>
      </c>
      <c r="BI19" s="816">
        <f>IF(ISNUMBER(Datos!J19/Datos!I19),Datos!J19/Datos!I19," - ")</f>
        <v>2.21484375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-3.591549295774648</v>
      </c>
      <c r="BM19" s="892">
        <f>IF(ISNUMBER((Datos!P19-Datos!Q19+R19)/(Datos!R19-Datos!P19+Datos!Q19-R19)),(Datos!P19-Datos!Q19+R19)/(Datos!R19-Datos!P19+Datos!Q19-R19)," - ")</f>
        <v>0.22966507177033493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40.991869112463426</v>
      </c>
      <c r="G21" s="555">
        <f>IF(ISNUMBER(STDEV(G8:G18)),STDEV(G8:G18),"-")</f>
        <v>37.25184559186296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132.64803051685314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24.363907732545698</v>
      </c>
      <c r="BD21" s="554"/>
      <c r="BE21" s="554">
        <f>IF(ISNUMBER(STDEV(BE8:BE18)),STDEV(BE8:BE18),"-")</f>
        <v>0</v>
      </c>
      <c r="BF21" s="559">
        <f>IF(ISNUMBER(STDEV(BF8:BF18)),STDEV(BF8:BF18),"-")</f>
        <v>0</v>
      </c>
      <c r="BG21" s="778">
        <f>IF(ISNUMBER(STDEV(BG8:BG18)),STDEV(BG8:BG18),"-")</f>
        <v>8.0121260651434392E-2</v>
      </c>
      <c r="BH21" s="779">
        <f>IF(ISNUMBER(STDEV(BH8:BH18)),STDEV(BH8:BH18),"-")</f>
        <v>4.8040478656525956</v>
      </c>
      <c r="BI21" s="252">
        <f>IF(ISNUMBER(STDEV(BI8:BI18)),STDEV(BI8:BI18),"-")</f>
        <v>7.625767179221371E-2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6Kb5L4TM4PUMAjMq/lPI0a4LIWKTxEgKlxYgyKVpFug4F/p6WDX5hG83ccuM6KwnRJAo2mMGBi98jQrdInn07w==" saltValue="IUGqPGalPx41nKpJwUnX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LERMA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v>
      </c>
      <c r="AA12" s="335" t="str">
        <f>IF(ISNUMBER(IF(J_V="SI",Datos!L12,Datos!L12+Datos!AB12)-IF(Monitorios="SI",Datos!CD12,0)),
                          IF(J_V="SI",Datos!L12,Datos!L12+Datos!AB12)-IF(Monitorios="SI",Datos!CD12,0),
                          " - ")</f>
        <v xml:space="preserve"> - </v>
      </c>
      <c r="AB12" s="337"/>
      <c r="AC12" s="337"/>
      <c r="AD12" s="487"/>
      <c r="AE12" s="487">
        <f>IF(ISNUMBER(Datos!R12),Datos!R12," - ")</f>
        <v>230</v>
      </c>
      <c r="AF12" s="232" t="str">
        <f>IF(ISNUMBER(Datos!BV12),Datos!BV12," - ")</f>
        <v xml:space="preserve"> - </v>
      </c>
      <c r="AG12" s="228" t="str">
        <f>IF(ISNUMBER(Datos!DV12),Datos!DV12," - ")</f>
        <v xml:space="preserve"> - </v>
      </c>
      <c r="AH12" s="301"/>
      <c r="AI12" s="230"/>
      <c r="AJ12" s="228">
        <f>IF(ISNUMBER(Datos!M12),Datos!M12," - ")</f>
        <v>52</v>
      </c>
      <c r="AK12" s="232">
        <f>IF(ISNUMBER(Datos!N12),Datos!N12," - ")</f>
        <v>70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13.270642201834862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0.23655913978494625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55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11</v>
      </c>
      <c r="AA13" s="903">
        <f t="shared" si="2"/>
        <v>0</v>
      </c>
      <c r="AB13" s="903">
        <f t="shared" si="2"/>
        <v>0</v>
      </c>
      <c r="AC13" s="903">
        <f t="shared" si="2"/>
        <v>0</v>
      </c>
      <c r="AD13" s="903">
        <f t="shared" si="2"/>
        <v>0</v>
      </c>
      <c r="AE13" s="903">
        <f t="shared" si="2"/>
        <v>230</v>
      </c>
      <c r="AF13" s="911">
        <f t="shared" si="2"/>
        <v>0</v>
      </c>
      <c r="AG13" s="911">
        <f t="shared" si="2"/>
        <v>0</v>
      </c>
      <c r="AH13" s="911">
        <f t="shared" si="2"/>
        <v>0</v>
      </c>
      <c r="AI13" s="911">
        <f t="shared" si="2"/>
        <v>0</v>
      </c>
      <c r="AJ13" s="911">
        <f t="shared" si="2"/>
        <v>52</v>
      </c>
      <c r="AK13" s="911">
        <f t="shared" si="2"/>
        <v>70</v>
      </c>
      <c r="AL13" s="911">
        <f t="shared" si="2"/>
        <v>0</v>
      </c>
      <c r="AM13" s="911">
        <f t="shared" si="2"/>
        <v>0</v>
      </c>
      <c r="AN13" s="911">
        <f t="shared" si="2"/>
        <v>0</v>
      </c>
      <c r="AO13" s="907">
        <f>IF(ISNUMBER(((NºAsuntos!I13/NºAsuntos!G13)*11)/factor_trimestre),((NºAsuntos!I13/NºAsuntos!G13)*11)/factor_trimestre," - ")</f>
        <v>13.270642201834862</v>
      </c>
      <c r="AP13" s="913" t="str">
        <f>IF(ISNUMBER(Datos!CI13/Datos!CJ13),Datos!CI13/Datos!CJ13," - ")</f>
        <v xml:space="preserve"> - </v>
      </c>
      <c r="AQ13" s="931">
        <f t="shared" ref="AQ13:AV13" si="3">SUBTOTAL(9,AQ9:AQ12)</f>
        <v>0</v>
      </c>
      <c r="AR13" s="931">
        <f t="shared" si="3"/>
        <v>0.23655913978494625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71</v>
      </c>
      <c r="G16" s="228">
        <f>IF(ISNUMBER(IF(D_I="SI",Datos!I16,Datos!I16+Datos!AC16)),IF(D_I="SI",Datos!I16,Datos!I16+Datos!AC16)," - ")</f>
        <v>67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239</v>
      </c>
      <c r="Z16" s="622">
        <f>IF(ISNUMBER(Datos!Q16),Datos!Q16," - ")</f>
        <v>6</v>
      </c>
      <c r="AA16" s="335">
        <f>IF(ISNUMBER(IF(D_I="SI",Datos!L16,Datos!L16+Datos!AF16)),IF(D_I="SI",Datos!L16,Datos!L16+Datos!AF16)," - ")</f>
        <v>103</v>
      </c>
      <c r="AB16" s="337"/>
      <c r="AC16" s="337"/>
      <c r="AD16" s="487"/>
      <c r="AE16" s="487">
        <f>IF(ISNUMBER(Datos!R16),Datos!R16," - ")</f>
        <v>27</v>
      </c>
      <c r="AF16" s="232" t="str">
        <f>IF(ISNUMBER(Datos!BV16),Datos!BV16," - ")</f>
        <v xml:space="preserve"> - </v>
      </c>
      <c r="AG16" s="228"/>
      <c r="AH16" s="301"/>
      <c r="AI16" s="230"/>
      <c r="AJ16" s="228">
        <f>IF(ISNUMBER(Datos!M16),Datos!M16," - ")</f>
        <v>42</v>
      </c>
      <c r="AK16" s="232">
        <f>IF(ISNUMBER(Datos!N16),Datos!N16," - ")</f>
        <v>144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4.7405857740585775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16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4.8125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71</v>
      </c>
      <c r="G18" s="901">
        <f>SUBTOTAL(9,G15:G17)</f>
        <v>72</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255</v>
      </c>
      <c r="Z18" s="935">
        <f t="shared" si="5"/>
        <v>6</v>
      </c>
      <c r="AA18" s="935">
        <f t="shared" si="5"/>
        <v>110</v>
      </c>
      <c r="AB18" s="935">
        <f t="shared" si="5"/>
        <v>0</v>
      </c>
      <c r="AC18" s="935">
        <f t="shared" si="5"/>
        <v>0</v>
      </c>
      <c r="AD18" s="935">
        <f t="shared" si="5"/>
        <v>0</v>
      </c>
      <c r="AE18" s="935">
        <f t="shared" si="5"/>
        <v>27</v>
      </c>
      <c r="AF18" s="935">
        <f t="shared" si="5"/>
        <v>0</v>
      </c>
      <c r="AG18" s="935">
        <f t="shared" si="5"/>
        <v>0</v>
      </c>
      <c r="AH18" s="935">
        <f t="shared" si="5"/>
        <v>0</v>
      </c>
      <c r="AI18" s="935">
        <f t="shared" si="5"/>
        <v>0</v>
      </c>
      <c r="AJ18" s="935">
        <f t="shared" si="5"/>
        <v>44</v>
      </c>
      <c r="AK18" s="935">
        <f t="shared" si="5"/>
        <v>160</v>
      </c>
      <c r="AL18" s="935">
        <f t="shared" si="5"/>
        <v>0</v>
      </c>
      <c r="AM18" s="935">
        <f t="shared" si="5"/>
        <v>0</v>
      </c>
      <c r="AN18" s="935">
        <f t="shared" si="5"/>
        <v>0</v>
      </c>
      <c r="AO18" s="937">
        <f>IF(ISNUMBER(((NºAsuntos!I18/NºAsuntos!G18)*11)/factor_trimestre),((NºAsuntos!I18/NºAsuntos!G18)*11)/factor_trimestre," - ")</f>
        <v>4.7450980392156863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71</v>
      </c>
      <c r="G19" s="823">
        <f t="shared" si="7"/>
        <v>72</v>
      </c>
      <c r="H19" s="824">
        <f t="shared" si="7"/>
        <v>0</v>
      </c>
      <c r="I19" s="823">
        <f t="shared" si="7"/>
        <v>0</v>
      </c>
      <c r="J19" s="825">
        <f t="shared" si="7"/>
        <v>0</v>
      </c>
      <c r="K19" s="823">
        <f t="shared" si="7"/>
        <v>0</v>
      </c>
      <c r="L19" s="826">
        <f t="shared" si="7"/>
        <v>0</v>
      </c>
      <c r="M19" s="823">
        <f t="shared" si="7"/>
        <v>0</v>
      </c>
      <c r="N19" s="824">
        <f t="shared" si="7"/>
        <v>65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255</v>
      </c>
      <c r="Z19" s="830">
        <f t="shared" si="8"/>
        <v>17</v>
      </c>
      <c r="AA19" s="831">
        <f t="shared" si="8"/>
        <v>110</v>
      </c>
      <c r="AB19" s="831">
        <f t="shared" si="8"/>
        <v>0</v>
      </c>
      <c r="AC19" s="831">
        <f t="shared" si="8"/>
        <v>0</v>
      </c>
      <c r="AD19" s="832">
        <f t="shared" si="8"/>
        <v>0</v>
      </c>
      <c r="AE19" s="832">
        <f t="shared" si="8"/>
        <v>257</v>
      </c>
      <c r="AF19" s="833">
        <f t="shared" si="8"/>
        <v>0</v>
      </c>
      <c r="AG19" s="834">
        <f t="shared" si="8"/>
        <v>0</v>
      </c>
      <c r="AH19" s="835">
        <f t="shared" si="8"/>
        <v>0</v>
      </c>
      <c r="AI19" s="833">
        <f t="shared" si="8"/>
        <v>0</v>
      </c>
      <c r="AJ19" s="823">
        <f t="shared" si="8"/>
        <v>96</v>
      </c>
      <c r="AK19" s="823">
        <f t="shared" si="8"/>
        <v>230</v>
      </c>
      <c r="AL19" s="823">
        <f t="shared" si="8"/>
        <v>0</v>
      </c>
      <c r="AM19" s="836">
        <f t="shared" si="8"/>
        <v>0</v>
      </c>
      <c r="AN19" s="826">
        <f>IF(ISNUMBER(Datos!K19/Datos!J19),Datos!K19/Datos!J19," - ")</f>
        <v>0.81128747795414458</v>
      </c>
      <c r="AO19" s="826">
        <f>IF(ISNUMBER(FIND("06",Criterios!A8,1)),(IF(ISNUMBER(((Datos!R19/Datos!Q19)*11)/factor_trimestre),((Datos!R19/Datos!Q19)*11)/factor_trimestre," - ")),(IF(ISNUMBER(((Datos!L19/Datos!K19)*11)/factor_trimestre),((Datos!L19/Datos!K19)*11)/factor_trimestre," - ")))</f>
        <v>8.7760869565217376</v>
      </c>
      <c r="AP19" s="837" t="str">
        <f>IF(ISNUMBER(Datos!CI19/Datos!CJ19),Datos!CI19/Datos!CJ19," - ")</f>
        <v xml:space="preserve"> - </v>
      </c>
      <c r="AQ19" s="837">
        <f>IF(OR(ISNUMBER(FIND("01",Criterios!A8,1)),ISNUMBER(FIND("02",Criterios!A8,1)),ISNUMBER(FIND("03",Criterios!A8,1)),ISNUMBER(FIND("04",Criterios!A8,1))),(J19-Y19+K19)/(F19-K19),(I19-Y19+K19)/(F19-K19))</f>
        <v>-3.591549295774648</v>
      </c>
      <c r="AR19" s="837">
        <f>IF(ISNUMBER((Datos!P19-Datos!Q19+O19)/(Datos!R19-Datos!P19+Datos!Q19-O19)),(Datos!P19-Datos!Q19+O19)/(Datos!R19-Datos!P19+Datos!Q19-O19)," - ")</f>
        <v>0.22966507177033493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40.991869112463426</v>
      </c>
      <c r="G21" s="555">
        <f>IF(ISNUMBER(STDEV(G8:G18)),STDEV(G8:G18),"-")</f>
        <v>37.25184559186296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24.363907732545698</v>
      </c>
      <c r="AK21" s="255"/>
      <c r="AL21" s="255">
        <f>IF(ISNUMBER(STDEV(AL8:AL18)),STDEV(AL8:AL18),"-")</f>
        <v>0</v>
      </c>
      <c r="AM21" s="257">
        <f>IF(ISNUMBER(STDEV(AM8:AM18)),STDEV(AM8:AM18),"-")</f>
        <v>0</v>
      </c>
      <c r="AN21" s="542">
        <f>IF(ISNUMBER(STDEV(AN8:AN18)),STDEV(AN8:AN18),"-")</f>
        <v>0</v>
      </c>
      <c r="AO21" s="543">
        <f>IF(ISNUMBER(STDEV(AO8:AO18)),STDEV(AO8:AO18),"-")</f>
        <v>4.65823789599298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HhjkTW+64h+M/64RvZpeqAaGIxN/2ACy9yoQUs6qtslMZ7B6vK4tluSDk6HV3kOgRBNQwR3nJtOhICcKLpaQQ==" saltValue="yOeReNl6RV41Oe9Onez6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oxV6kIrFK+7AI7a3EsvLzFC4Pqubu2YLuLwOMBxuyfNIBeS4NP4E7IXVQypMDz4WkNHoRStBb5UAOBwEgdUbg==" saltValue="YxQ4DDcV8nzDbOR0ueP2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QR/PNJXCB4fqVNNwpvFrjTetAdoQvbkmFWOtmi09LkPtOvtwU9eDuaD4LBQTEZHh8Jwoepex8cUZeLE6ariRw==" saltValue="8C6MD3qan6uHfCKuaTmwt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LERMA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0.23853211009174313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0.16866767257660767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VXXFO/Ns0H94h49ZL9R4oLJr2iQfMxEDbR2LFq2EbR3Vsvo84DVztMEfUlpPYxRHAvL17FALg1f/gpPX+oxcA==" saltValue="qQJTn0eboRr4kaXvHxWZ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01GD8V+sNr0aYM8rvuKteklOUtH2RVwqlecMhqNVSBnlBGcvWI/rPfBJO+MrRNO134IxXNmIbWKMaMjOVIBZBg==" saltValue="S25eJn3nnlMPiJLYyWSC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LERMA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186</v>
      </c>
      <c r="D12" s="407">
        <f>IF(ISNUMBER(C12/Datos!BH12),C12/Datos!BH12," - ")</f>
        <v>186</v>
      </c>
      <c r="E12" s="406">
        <f>IF(ISNUMBER(IF(J_V="SI",Datos!J12,Datos!J12+Datos!Z12)),IF(J_V="SI",Datos!J12,Datos!J12+Datos!Z12)," - ")</f>
        <v>295</v>
      </c>
      <c r="F12" s="407">
        <f>IF(ISNUMBER(E12/B12),E12/B12," - ")</f>
        <v>295</v>
      </c>
      <c r="G12" s="406">
        <f>IF(ISNUMBER(IF(J_V="SI",Datos!K12,Datos!K12+Datos!AA12)),IF(J_V="SI",Datos!K12,Datos!K12+Datos!AA12)," - ")</f>
        <v>218</v>
      </c>
      <c r="H12" s="407">
        <f>IF(ISNUMBER(G12/B12),G12/B12," - ")</f>
        <v>218</v>
      </c>
      <c r="I12" s="406">
        <f>IF(ISNUMBER(IF(J_V="SI",Datos!L12,Datos!L12+Datos!AB12)),IF(J_V="SI",Datos!L12,Datos!L12+Datos!AB12)," - ")</f>
        <v>263</v>
      </c>
      <c r="J12" s="407">
        <f>IF(ISNUMBER(I12/B12),I12/B12," - ")</f>
        <v>263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186</v>
      </c>
      <c r="D13" s="853" t="str">
        <f>IF(ISNUMBER(C13/Datos!BI13),C13/Datos!BI13," - ")</f>
        <v xml:space="preserve"> - </v>
      </c>
      <c r="E13" s="852">
        <f>SUBTOTAL(9,E8:E12)</f>
        <v>295</v>
      </c>
      <c r="F13" s="853">
        <f>IF(ISNUMBER(E13/B13),E13/B13," - ")</f>
        <v>295</v>
      </c>
      <c r="G13" s="852">
        <f>SUBTOTAL(9,G8:G12)</f>
        <v>218</v>
      </c>
      <c r="H13" s="853">
        <f>IF(ISNUMBER(G13/B13),G13/B13," - ")</f>
        <v>218</v>
      </c>
      <c r="I13" s="852">
        <f>SUBTOTAL(9,I8:I12)</f>
        <v>263</v>
      </c>
      <c r="J13" s="853">
        <f>IF(ISNUMBER(I13/B13),I13/B13," - ")</f>
        <v>263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67</v>
      </c>
      <c r="D16" s="407">
        <f>IF(ISNUMBER(C16/Datos!BH16),C16/Datos!BH16," - ")</f>
        <v>67</v>
      </c>
      <c r="E16" s="406">
        <f>IF(ISNUMBER(IF(D_I="SI",Datos!J16,Datos!J16+Datos!AD16)),IF(D_I="SI",Datos!J16,Datos!J16+Datos!AD16)," - ")</f>
        <v>271</v>
      </c>
      <c r="F16" s="407">
        <f>IF(ISNUMBER(E16/B16),E16/B16," - ")</f>
        <v>271</v>
      </c>
      <c r="G16" s="406">
        <f>IF(ISNUMBER(IF(D_I="SI",Datos!K16,Datos!K16+Datos!AE16)),IF(D_I="SI",Datos!K16,Datos!K16+Datos!AE16)," - ")</f>
        <v>239</v>
      </c>
      <c r="H16" s="407">
        <f>IF(ISNUMBER(G16/B16),G16/B16," - ")</f>
        <v>239</v>
      </c>
      <c r="I16" s="406">
        <f>IF(ISNUMBER(IF(D_I="SI",Datos!L16,Datos!L16+Datos!AF16)),IF(D_I="SI",Datos!L16,Datos!L16+Datos!AF16)," - ")</f>
        <v>103</v>
      </c>
      <c r="J16" s="407">
        <f>IF(ISNUMBER(I16/B16),I16/B16," - ")</f>
        <v>103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v>
      </c>
      <c r="D17" s="407">
        <f>IF(ISNUMBER(C17/Datos!BH17),C17/Datos!BH17," - ")</f>
        <v>5</v>
      </c>
      <c r="E17" s="406">
        <f>IF(ISNUMBER(IF(D_I="SI",Datos!J17,Datos!J17+Datos!AD17)),IF(D_I="SI",Datos!J17,Datos!J17+Datos!AD17)," - ")</f>
        <v>18</v>
      </c>
      <c r="F17" s="407">
        <f>IF(ISNUMBER(E17/B17),E17/B17," - ")</f>
        <v>18</v>
      </c>
      <c r="G17" s="406">
        <f>IF(ISNUMBER(IF(D_I="SI",Datos!K17,Datos!K17+Datos!AE17)),IF(D_I="SI",Datos!K17,Datos!K17+Datos!AE17)," - ")</f>
        <v>16</v>
      </c>
      <c r="H17" s="407">
        <f>IF(ISNUMBER(G17/B17),G17/B17," - ")</f>
        <v>16</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72</v>
      </c>
      <c r="D18" s="853" t="str">
        <f>IF(ISNUMBER(C18/Datos!BI18),C18/Datos!BI18," - ")</f>
        <v xml:space="preserve"> - </v>
      </c>
      <c r="E18" s="852">
        <f>SUBTOTAL(9,E14:E17)</f>
        <v>289</v>
      </c>
      <c r="F18" s="853">
        <f>IF(ISNUMBER(E18/B18),E18/B18," - ")</f>
        <v>289</v>
      </c>
      <c r="G18" s="852">
        <f>SUBTOTAL(9,G14:G17)</f>
        <v>255</v>
      </c>
      <c r="H18" s="853">
        <f>IF(ISNUMBER(G18/B18),G18/B18," - ")</f>
        <v>255</v>
      </c>
      <c r="I18" s="852">
        <f>SUBTOTAL(9,I14:I17)</f>
        <v>110</v>
      </c>
      <c r="J18" s="853">
        <f>IF(ISNUMBER(I18/B18),I18/B18," - ")</f>
        <v>110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258</v>
      </c>
      <c r="D19" s="798" t="str">
        <f>IF(ISNUMBER(C19/Datos!BI19),C19/Datos!BI19," - ")</f>
        <v xml:space="preserve"> - </v>
      </c>
      <c r="E19" s="797">
        <f>SUBTOTAL(9,E9:E18)</f>
        <v>584</v>
      </c>
      <c r="F19" s="798">
        <f>IF(ISNUMBER(E19/B19),E19/B19," - ")</f>
        <v>584</v>
      </c>
      <c r="G19" s="797">
        <f>SUBTOTAL(9,G9:G18)</f>
        <v>473</v>
      </c>
      <c r="H19" s="798">
        <f>IF(ISNUMBER(G19/B19),G19/B19," - ")</f>
        <v>473</v>
      </c>
      <c r="I19" s="797">
        <f>SUBTOTAL(9,I9:I18)</f>
        <v>373</v>
      </c>
      <c r="J19" s="798">
        <f>IF(ISNUMBER(I19/B19),I19/B19," - ")</f>
        <v>373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hSQe9Q5OgyX3r18PMkw5a2m2UfLfyKw8kZsZNnhT/PzISgX1XS4Hd0meVuDlvghL/VKRwa5aSt6ty7gio8IFw==" saltValue="3vNdUfWCdL6rfB2Mk3fM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LERMA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52</v>
      </c>
      <c r="AM12" s="693">
        <f>IF(ISNUMBER(Datos!N12+DatosP!N16),Datos!N12+DatosP!N16," - ")</f>
        <v>70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13.270642201834862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0.23655913978494625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55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11</v>
      </c>
      <c r="AE13" s="942">
        <f t="shared" si="1"/>
        <v>0</v>
      </c>
      <c r="AF13" s="942">
        <f t="shared" si="1"/>
        <v>0</v>
      </c>
      <c r="AG13" s="942">
        <f t="shared" si="1"/>
        <v>0</v>
      </c>
      <c r="AH13" s="942">
        <f t="shared" si="1"/>
        <v>230</v>
      </c>
      <c r="AI13" s="942">
        <f t="shared" si="1"/>
        <v>0</v>
      </c>
      <c r="AJ13" s="942">
        <f t="shared" si="1"/>
        <v>0</v>
      </c>
      <c r="AK13" s="942">
        <f t="shared" si="1"/>
        <v>0</v>
      </c>
      <c r="AL13" s="942">
        <f t="shared" si="1"/>
        <v>52</v>
      </c>
      <c r="AM13" s="942">
        <f t="shared" si="1"/>
        <v>70</v>
      </c>
      <c r="AN13" s="942">
        <f t="shared" si="1"/>
        <v>0</v>
      </c>
      <c r="AO13" s="942">
        <f t="shared" si="1"/>
        <v>0</v>
      </c>
      <c r="AP13" s="947">
        <f>IF(ISNUMBER(((Datos!L13/Datos!K13)*11)/factor_trimestre),((Datos!L13/Datos!K13)*11)/factor_trimestre," - ")</f>
        <v>13.790243902439025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0.23655913978494625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4.7450980392156863</v>
      </c>
      <c r="AQ18" s="947">
        <f>IF(ISNUMBER(((Datos!M18/Datos!L18)*11)/factor_trimestre),((Datos!M18/Datos!L18)*11)/factor_trimestre," - ")</f>
        <v>4.4000000000000004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0.17391304347826086</v>
      </c>
      <c r="AW18" s="949">
        <f>IF(ISNUMBER((Datos!Q18-Datos!R18)/(Datos!S18-Datos!Q18+Datos!R18)),(Datos!Q18-Datos!R18)/(Datos!S18-Datos!Q18+Datos!R18)," - ")</f>
        <v>-0.13636363636363635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55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11</v>
      </c>
      <c r="AE19" s="960">
        <f t="shared" si="5"/>
        <v>0</v>
      </c>
      <c r="AF19" s="961">
        <f t="shared" si="5"/>
        <v>0</v>
      </c>
      <c r="AG19" s="961">
        <f t="shared" si="5"/>
        <v>0</v>
      </c>
      <c r="AH19" s="961">
        <f t="shared" si="5"/>
        <v>230</v>
      </c>
      <c r="AI19" s="961">
        <f t="shared" si="5"/>
        <v>0</v>
      </c>
      <c r="AJ19" s="962">
        <f t="shared" si="5"/>
        <v>0</v>
      </c>
      <c r="AK19" s="962">
        <f t="shared" si="5"/>
        <v>0</v>
      </c>
      <c r="AL19" s="954">
        <f t="shared" si="5"/>
        <v>52</v>
      </c>
      <c r="AM19" s="954">
        <f t="shared" si="5"/>
        <v>70</v>
      </c>
      <c r="AN19" s="954">
        <f t="shared" si="5"/>
        <v>0</v>
      </c>
      <c r="AO19" s="954">
        <f t="shared" si="5"/>
        <v>0</v>
      </c>
      <c r="AP19" s="954">
        <f>IF(ISNUMBER(((Datos!L19/Datos!K19)*11)/factor_trimestre),((Datos!L19/Datos!K19)*11)/factor_trimestre," - ")</f>
        <v>8.7760869565217376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0.22966507177033493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30.02221399786054</v>
      </c>
      <c r="AM21" s="739"/>
      <c r="AN21" s="739">
        <f>IF(ISNUMBER(STDEV(AN8:AN18)),STDEV(AN8:AN18),"-")</f>
        <v>0</v>
      </c>
      <c r="AO21" s="745">
        <f>IF(ISNUMBER(STDEV(AO8:AO18)),STDEV(AO8:AO18),"-")</f>
        <v>0</v>
      </c>
      <c r="AP21" s="782">
        <f>IF(ISNUMBER(STDEV(AP8:AP18)),STDEV(AP8:AP18),"-")</f>
        <v>5.0788704925903039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TD/XTcdaons4m+YRKHD6tC7iZd4DUGTbFrtAaaJrN9M2Dsr3lSZ92vT/x2MAe1El8hlJsZSguqajdHVr3YUNg==" saltValue="yhHGTVJUhkU9RYS87xOs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BURGOS</v>
      </c>
      <c r="C3" s="418"/>
      <c r="F3" s="378"/>
      <c r="G3" s="378"/>
      <c r="H3" s="378"/>
    </row>
    <row r="4" spans="1:15" ht="13.5" thickBot="1">
      <c r="A4" s="378"/>
      <c r="B4" s="394" t="str">
        <f>Criterios!A11 &amp;"  "&amp;Criterios!B11</f>
        <v>Resumenes por Partidos Judiciales  LERMA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u0CpHgPH/96QHTwPn0OB2UKQ7yZnwf9GFXxPjc2L5uIfFhyAHTNfRo4f9x9PFwUlvPFE5kgikrg6n1a+3a1qw==" saltValue="9PQLZuB4qdNr4yE7CUfC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LERMA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52</v>
      </c>
      <c r="E12" s="407">
        <f t="shared" si="0"/>
        <v>52</v>
      </c>
      <c r="F12" s="406">
        <f>IF(ISNUMBER(Datos!N12),Datos!N12," - ")</f>
        <v>70</v>
      </c>
      <c r="G12" s="407">
        <f t="shared" si="1"/>
        <v>70</v>
      </c>
      <c r="H12" s="406">
        <f>IF(ISNUMBER(Datos!O12),Datos!O12," - ")</f>
        <v>96</v>
      </c>
      <c r="I12" s="407">
        <f t="shared" si="2"/>
        <v>96</v>
      </c>
    </row>
    <row r="13" spans="1:9" ht="14.25" thickTop="1" thickBot="1">
      <c r="A13" s="851" t="str">
        <f>Datos!A13</f>
        <v>TOTAL</v>
      </c>
      <c r="B13" s="852">
        <f>Datos!AO13</f>
        <v>2</v>
      </c>
      <c r="C13" s="854">
        <f>Datos!AR13</f>
        <v>1</v>
      </c>
      <c r="D13" s="852">
        <f>SUBTOTAL(9,D9:D12)</f>
        <v>52</v>
      </c>
      <c r="E13" s="853">
        <f t="shared" si="0"/>
        <v>26</v>
      </c>
      <c r="F13" s="852">
        <f>SUBTOTAL(9,F9:F12)</f>
        <v>70</v>
      </c>
      <c r="G13" s="853">
        <f t="shared" si="1"/>
        <v>35</v>
      </c>
      <c r="H13" s="852">
        <f>SUBTOTAL(9,H9:H12)</f>
        <v>96</v>
      </c>
      <c r="I13" s="853">
        <f>IF(ISNUMBER(H13/B13),H13/B13," - ")</f>
        <v>48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42</v>
      </c>
      <c r="E16" s="407">
        <f t="shared" si="3"/>
        <v>42</v>
      </c>
      <c r="F16" s="406">
        <f>IF(ISNUMBER(Datos!N16),Datos!N16," - ")</f>
        <v>144</v>
      </c>
      <c r="G16" s="407">
        <f t="shared" si="4"/>
        <v>144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16</v>
      </c>
      <c r="G17" s="407">
        <f>IF(ISNUMBER(F17/B17),F17/B17," - ")</f>
        <v>16</v>
      </c>
      <c r="H17" s="406">
        <f>IF(ISNUMBER(Datos!O17),Datos!O17," - ")</f>
        <v>0</v>
      </c>
      <c r="I17" s="407">
        <f t="shared" si="5"/>
        <v>0</v>
      </c>
    </row>
    <row r="18" spans="1:9" ht="14.25" thickTop="1" thickBot="1">
      <c r="A18" s="851" t="str">
        <f>Datos!A18</f>
        <v>TOTAL</v>
      </c>
      <c r="B18" s="852">
        <f>Datos!AO18</f>
        <v>2</v>
      </c>
      <c r="C18" s="854">
        <f>Datos!AR18</f>
        <v>1</v>
      </c>
      <c r="D18" s="852">
        <f>SUBTOTAL(9,D15:D17)</f>
        <v>44</v>
      </c>
      <c r="E18" s="853">
        <f t="shared" si="3"/>
        <v>22</v>
      </c>
      <c r="F18" s="852">
        <f>SUBTOTAL(9,F15:F17)</f>
        <v>160</v>
      </c>
      <c r="G18" s="853">
        <f t="shared" si="4"/>
        <v>80</v>
      </c>
      <c r="H18" s="852">
        <f>SUBTOTAL(9,H15:H17)</f>
        <v>0</v>
      </c>
      <c r="I18" s="853">
        <f>IF(ISNUMBER(H18/B18),H18/B18," - ")</f>
        <v>0</v>
      </c>
    </row>
    <row r="19" spans="1:9" ht="14.25" thickTop="1" thickBot="1">
      <c r="A19" s="796" t="str">
        <f>Datos!A19</f>
        <v>TOTAL JURISDICCIONES</v>
      </c>
      <c r="B19" s="797">
        <f>Datos!AP19</f>
        <v>1</v>
      </c>
      <c r="C19" s="797">
        <f>Datos!AR19</f>
        <v>1</v>
      </c>
      <c r="D19" s="797">
        <f>SUBTOTAL(9,D8:D18)</f>
        <v>96</v>
      </c>
      <c r="E19" s="798">
        <f>IF(ISNUMBER(D19/B19),D19/B19," - ")</f>
        <v>96</v>
      </c>
      <c r="F19" s="797">
        <f>SUBTOTAL(9,F8:F18)</f>
        <v>230</v>
      </c>
      <c r="G19" s="798">
        <f>IF(ISNUMBER(F19/B19),F19/B19," - ")</f>
        <v>230</v>
      </c>
      <c r="H19" s="797">
        <f>SUBTOTAL(9,H8:H18)</f>
        <v>96</v>
      </c>
      <c r="I19" s="798">
        <f>IF(ISNUMBER(H19/B19),H19/B19," - ")</f>
        <v>96</v>
      </c>
    </row>
    <row r="22" spans="1:9">
      <c r="A22" s="394" t="str">
        <f>Criterios!A4</f>
        <v>Fecha Informe: 03 may. 2024</v>
      </c>
    </row>
    <row r="27" spans="1:9">
      <c r="A27" s="417"/>
    </row>
  </sheetData>
  <sheetProtection algorithmName="SHA-512" hashValue="p5+1gnYfQMRXOvtgRXYiPlEezvxmQL7yj2sMKq06yUk3XiGb++DNOubvwq4X2b+bLrlFTQ/XxKM6n1TM2/VuLg==" saltValue="rzWihfj6G/3XIFkRabvP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LERMA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55</v>
      </c>
      <c r="C12" s="437">
        <f>IF(ISNUMBER(Datos!Q12),Datos!Q12," - ")</f>
        <v>11</v>
      </c>
      <c r="D12" s="411">
        <f>IF(ISNUMBER(Datos!R12),Datos!R12," - ")</f>
        <v>230</v>
      </c>
    </row>
    <row r="13" spans="1:4" ht="14.25" thickTop="1" thickBot="1">
      <c r="A13" s="851" t="str">
        <f>Datos!A13</f>
        <v>TOTAL</v>
      </c>
      <c r="B13" s="852">
        <f>SUBTOTAL(9,B9:B12)</f>
        <v>55</v>
      </c>
      <c r="C13" s="856">
        <f>SUBTOTAL(9,C9:C12)</f>
        <v>11</v>
      </c>
      <c r="D13" s="854">
        <f>SUBTOTAL(9,D9:D12)</f>
        <v>230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6</v>
      </c>
      <c r="D16" s="411">
        <f>IF(ISNUMBER(Datos!R16),Datos!R16," - ")</f>
        <v>27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6</v>
      </c>
      <c r="D18" s="854">
        <f>SUBTOTAL(9,D15:D17)</f>
        <v>27</v>
      </c>
    </row>
    <row r="19" spans="1:4" ht="16.5" customHeight="1" thickTop="1" thickBot="1">
      <c r="A19" s="796" t="str">
        <f>Datos!A19</f>
        <v>TOTAL JURISDICCIONES</v>
      </c>
      <c r="B19" s="801">
        <f>SUBTOTAL(9,B8:B18)</f>
        <v>65</v>
      </c>
      <c r="C19" s="802">
        <f>SUBTOTAL(9,C8:C18)</f>
        <v>17</v>
      </c>
      <c r="D19" s="803">
        <f>SUBTOTAL(9,D8:D18)</f>
        <v>257</v>
      </c>
    </row>
    <row r="20" spans="1:4" ht="7.5" customHeight="1"/>
    <row r="21" spans="1:4" ht="6" customHeight="1"/>
    <row r="22" spans="1:4">
      <c r="A22" s="394" t="str">
        <f>Criterios!A4</f>
        <v>Fecha Informe: 03 may. 2024</v>
      </c>
    </row>
    <row r="27" spans="1:4">
      <c r="A27" s="417"/>
    </row>
  </sheetData>
  <sheetProtection algorithmName="SHA-512" hashValue="OWOt9xRKYN+VceCMjfNjLCZLFz3Q0+EsTT2VU/6A2kS0u89S0giwM/2sW5bwX74n7BF10LX9C2/wfoxnz+Torw==" saltValue="bBxn20JuJGxsm1Gza3P/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LERMA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0.10059171597633136</v>
      </c>
      <c r="C12" s="459">
        <f>IF(ISNUMBER(
   IF(J_V="SI",(Datos!J12-Datos!T12)/Datos!T12,(Datos!J12+Datos!Z12-(Datos!T12+Datos!AH12))/(Datos!T12+Datos!AH12))
     ),IF(J_V="SI",(Datos!J12-Datos!T12)/Datos!T12,(Datos!J12+Datos!Z12-(Datos!T12+Datos!AH12))/(Datos!T12+Datos!AH12))," - ")</f>
        <v>6.4981949458483748E-2</v>
      </c>
      <c r="D12" s="459">
        <f>IF(ISNUMBER(
   IF(J_V="SI",(Datos!K12-Datos!U12)/Datos!U12,(Datos!K12+Datos!AA12-(Datos!U12+Datos!AI12))/(Datos!U12+Datos!AI12))
     ),IF(J_V="SI",(Datos!K12-Datos!U12)/Datos!U12,(Datos!K12+Datos!AA12-(Datos!U12+Datos!AI12))/(Datos!U12+Datos!AI12))," - ")</f>
        <v>-0.16153846153846155</v>
      </c>
      <c r="E12" s="459">
        <f>IF(ISNUMBER(
   IF(J_V="SI",(Datos!L12-Datos!V12)/Datos!V12,(Datos!L12+Datos!AB12-(Datos!V12+Datos!AJ12))/(Datos!V12+Datos!AJ12))
     ),IF(J_V="SI",(Datos!L12-Datos!V12)/Datos!V12,(Datos!L12+Datos!AB12-(Datos!V12+Datos!AJ12))/(Datos!V12+Datos!AJ12))," - ")</f>
        <v>0.41397849462365593</v>
      </c>
      <c r="F12" s="459">
        <f>IF(ISNUMBER((Datos!M12-Datos!W12)/Datos!W12),(Datos!M12-Datos!W12)/Datos!W12," - ")</f>
        <v>0.15555555555555556</v>
      </c>
      <c r="G12" s="460">
        <f>IF(ISNUMBER((Datos!N12-Datos!X12)/Datos!X12),(Datos!N12-Datos!X12)/Datos!X12," - ")</f>
        <v>-0.52380952380952384</v>
      </c>
      <c r="H12" s="458">
        <f>IF(ISNUMBER(((NºAsuntos!G12/NºAsuntos!E12)-Datos!BD12)/Datos!BD12),((NºAsuntos!G12/NºAsuntos!E12)-Datos!BD12)/Datos!BD12," - ")</f>
        <v>-0.21269882659713168</v>
      </c>
      <c r="I12" s="459">
        <f>IF(ISNUMBER(((NºAsuntos!I12/NºAsuntos!G12)-Datos!BE12)/Datos!BE12),((NºAsuntos!I12/NºAsuntos!G12)-Datos!BE12)/Datos!BE12," - ")</f>
        <v>0.68639636973463547</v>
      </c>
      <c r="J12" s="464">
        <f>IF(ISNUMBER((('Resol  Asuntos'!D12/NºAsuntos!G12)-Datos!BF12)/Datos!BF12),(('Resol  Asuntos'!D12/NºAsuntos!G12)-Datos!BF12)/Datos!BF12," - ")</f>
        <v>-0.57810647194657672</v>
      </c>
      <c r="K12" s="465">
        <f>IF(ISNUMBER((((NºAsuntos!C12+NºAsuntos!E12)/NºAsuntos!G12)-Datos!BG12)/Datos!BG12),(((NºAsuntos!C12+NºAsuntos!E12)/NºAsuntos!G12)-Datos!BG12)/Datos!BG12," - ")</f>
        <v>0.28625498827498258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0.10059171597633136</v>
      </c>
      <c r="C13" s="858">
        <f>IF(ISNUMBER(
   IF(J_V="SI",(Datos!J13-Datos!T13)/Datos!T13,(Datos!J13+Datos!Z13-(Datos!T13+Datos!AH13))/(Datos!T13+Datos!AH13))
     ),IF(J_V="SI",(Datos!J13-Datos!T13)/Datos!T13,(Datos!J13+Datos!Z13-(Datos!T13+Datos!AH13))/(Datos!T13+Datos!AH13))," - ")</f>
        <v>6.4981949458483748E-2</v>
      </c>
      <c r="D13" s="858">
        <f>IF(ISNUMBER(
   IF(J_V="SI",(Datos!K13-Datos!U13)/Datos!U13,(Datos!K13+Datos!AA13-(Datos!U13+Datos!AI13))/(Datos!U13+Datos!AI13))
     ),IF(J_V="SI",(Datos!K13-Datos!U13)/Datos!U13,(Datos!K13+Datos!AA13-(Datos!U13+Datos!AI13))/(Datos!U13+Datos!AI13))," - ")</f>
        <v>-0.16153846153846155</v>
      </c>
      <c r="E13" s="858">
        <f>IF(ISNUMBER(
   IF(J_V="SI",(Datos!L13-Datos!V13)/Datos!V13,(Datos!L13+Datos!AB13-(Datos!V13+Datos!AJ13))/(Datos!V13+Datos!AJ13))
     ),IF(J_V="SI",(Datos!L13-Datos!V13)/Datos!V13,(Datos!L13+Datos!AB13-(Datos!V13+Datos!AJ13))/(Datos!V13+Datos!AJ13))," - ")</f>
        <v>0.41397849462365593</v>
      </c>
      <c r="F13" s="859">
        <f>IF(ISNUMBER((Datos!M13-Datos!W13)/Datos!W13),(Datos!M13-Datos!W13)/Datos!W13," - ")</f>
        <v>0.15555555555555556</v>
      </c>
      <c r="G13" s="860">
        <f>IF(ISNUMBER((Datos!N13-Datos!X13)/Datos!X13),(Datos!N13-Datos!X13)/Datos!X13," - ")</f>
        <v>-0.52380952380952384</v>
      </c>
      <c r="H13" s="860">
        <f>IF(ISNUMBER(((NºAsuntos!G13/NºAsuntos!E13)-Datos!BD13)/Datos!BD13),((NºAsuntos!G13/NºAsuntos!E13)-Datos!BD13)/Datos!BD13," - ")</f>
        <v>-0.21269882659713168</v>
      </c>
      <c r="I13" s="860">
        <f>IF(ISNUMBER(((NºAsuntos!I13/NºAsuntos!G13)-Datos!BE13)/Datos!BE13),((NºAsuntos!I13/NºAsuntos!G13)-Datos!BE13)/Datos!BE13," - ")</f>
        <v>0.68639636973463547</v>
      </c>
      <c r="J13" s="860">
        <f>IF(ISNUMBER((('Resol  Asuntos'!D13/NºAsuntos!G13)-Datos!BF13)/Datos!BF13),(('Resol  Asuntos'!D13/NºAsuntos!G13)-Datos!BF13)/Datos!BF13," - ")</f>
        <v>-0.57810647194657672</v>
      </c>
      <c r="K13" s="860">
        <f>IF(ISNUMBER((((NºAsuntos!C13+NºAsuntos!E13)/NºAsuntos!G13)-Datos!BG13)/Datos!BG13),(((NºAsuntos!C13+NºAsuntos!E13)/NºAsuntos!G13)-Datos!BG13)/Datos!BG13," - ")</f>
        <v>0.28625498827498258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-0.45528455284552843</v>
      </c>
      <c r="C16" s="459">
        <f>IF(ISNUMBER(
   IF(D_I="SI",(Datos!J16-Datos!T16)/Datos!T16,(Datos!J16+Datos!AD16-(Datos!T16+Datos!AL16))/(Datos!T16+Datos!AL16))
     ),IF(D_I="SI",(Datos!J16-Datos!T16)/Datos!T16,(Datos!J16+Datos!AD16-(Datos!T16+Datos!AL16))/(Datos!T16+Datos!AL16))," - ")</f>
        <v>-0.20527859237536658</v>
      </c>
      <c r="D16" s="459">
        <f>IF(ISNUMBER(
   IF(D_I="SI",(Datos!K16-Datos!U16)/Datos!U16,(Datos!K16+Datos!AE16-(Datos!U16+Datos!AM16))/(Datos!U16+Datos!AM16))
     ),IF(D_I="SI",(Datos!K16-Datos!U16)/Datos!U16,(Datos!K16+Datos!AE16-(Datos!U16+Datos!AM16))/(Datos!U16+Datos!AM16))," - ")</f>
        <v>-0.40100250626566414</v>
      </c>
      <c r="E16" s="459">
        <f>IF(ISNUMBER(
   IF(D_I="SI",(Datos!L16-Datos!V16)/Datos!V16,(Datos!L16+Datos!AF16-(Datos!V16+Datos!AN16))/(Datos!V16+Datos!AN16))
     ),IF(D_I="SI",(Datos!L16-Datos!V16)/Datos!V16,(Datos!L16+Datos!AF16-(Datos!V16+Datos!AN16))/(Datos!V16+Datos!AN16))," - ")</f>
        <v>0.53731343283582089</v>
      </c>
      <c r="F16" s="459">
        <f>IF(ISNUMBER((Datos!M16-Datos!W16)/Datos!W16),(Datos!M16-Datos!W16)/Datos!W16," - ")</f>
        <v>-0.36363636363636365</v>
      </c>
      <c r="G16" s="460">
        <f>IF(ISNUMBER((Datos!N16-Datos!X16)/Datos!X16),(Datos!N16-Datos!X16)/Datos!X16," - ")</f>
        <v>-0.4</v>
      </c>
      <c r="H16" s="458">
        <f>IF(ISNUMBER(((NºAsuntos!G16/NºAsuntos!E16)-Datos!BD16)/Datos!BD16),((NºAsuntos!G16/NºAsuntos!E16)-Datos!BD16)/Datos!BD16," - ")</f>
        <v>-0.24627990640808664</v>
      </c>
      <c r="I16" s="459">
        <f>IF(ISNUMBER(((NºAsuntos!I16/NºAsuntos!G16)-Datos!BE16)/Datos!BE16),((NºAsuntos!I16/NºAsuntos!G16)-Datos!BE16)/Datos!BE16," - ")</f>
        <v>1.5664772372447389</v>
      </c>
      <c r="J16" s="464">
        <f>IF(ISNUMBER((('Resol  Asuntos'!D16/NºAsuntos!G16)-Datos!BF16)/Datos!BF16),(('Resol  Asuntos'!D16/NºAsuntos!G16)-Datos!BF16)/Datos!BF16," - ")</f>
        <v>6.2381133510840604E-2</v>
      </c>
      <c r="K16" s="465">
        <f>IF(ISNUMBER((((NºAsuntos!C16+NºAsuntos!E16)/NºAsuntos!G16)-Datos!BG16)/Datos!BG16),(((NºAsuntos!C16+NºAsuntos!E16)/NºAsuntos!G16)-Datos!BG16)/Datos!BG16," - ")</f>
        <v>0.21611239359399806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-0.1</v>
      </c>
      <c r="D17" s="459">
        <f>IF(ISNUMBER(
   IF(D_I="SI",(Datos!K17-Datos!U17)/Datos!U17,(Datos!K17+Datos!AE17-(Datos!U17+Datos!AM17))/(Datos!U17+Datos!AM17))
     ),IF(D_I="SI",(Datos!K17-Datos!U17)/Datos!U17,(Datos!K17+Datos!AE17-(Datos!U17+Datos!AM17))/(Datos!U17+Datos!AM17))," - ")</f>
        <v>-0.36</v>
      </c>
      <c r="E17" s="459">
        <f>IF(ISNUMBER(
   IF(D_I="SI",(Datos!L17-Datos!V17)/Datos!V17,(Datos!L17+Datos!AF17-(Datos!V17+Datos!AN17))/(Datos!V17+Datos!AN17))
     ),IF(D_I="SI",(Datos!L17-Datos!V17)/Datos!V17,(Datos!L17+Datos!AF17-(Datos!V17+Datos!AN17))/(Datos!V17+Datos!AN17))," - ")</f>
        <v>0.4</v>
      </c>
      <c r="F17" s="459">
        <f>IF(ISNUMBER((Datos!M17-Datos!W17)/Datos!W17),(Datos!M17-Datos!W17)/Datos!W17," - ")</f>
        <v>0</v>
      </c>
      <c r="G17" s="460">
        <f>IF(ISNUMBER((Datos!N17-Datos!X17)/Datos!X17),(Datos!N17-Datos!X17)/Datos!X17," - ")</f>
        <v>-0.30434782608695654</v>
      </c>
      <c r="H17" s="458">
        <f>IF(ISNUMBER(((NºAsuntos!G17/NºAsuntos!E17)-Datos!BD17)/Datos!BD17),((NºAsuntos!G17/NºAsuntos!E17)-Datos!BD17)/Datos!BD17," - ")</f>
        <v>-0.28888888888888892</v>
      </c>
      <c r="I17" s="459">
        <f>IF(ISNUMBER(((NºAsuntos!I17/NºAsuntos!G17)-Datos!BE17)/Datos!BE17),((NºAsuntos!I17/NºAsuntos!G17)-Datos!BE17)/Datos!BE17," - ")</f>
        <v>1.1874999999999998</v>
      </c>
      <c r="J17" s="464">
        <f>IF(ISNUMBER((('Resol  Asuntos'!D17/NºAsuntos!G17)-Datos!BF17)/Datos!BF17),(('Resol  Asuntos'!D17/NºAsuntos!G17)-Datos!BF17)/Datos!BF17," - ")</f>
        <v>0.5625</v>
      </c>
      <c r="K17" s="465">
        <f>IF(ISNUMBER((((NºAsuntos!C17+NºAsuntos!E17)/NºAsuntos!G17)-Datos!BG17)/Datos!BG17),(((NºAsuntos!C17+NºAsuntos!E17)/NºAsuntos!G17)-Datos!BG17)/Datos!BG17," - ")</f>
        <v>0.19791666666666671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-0.45864661654135336</v>
      </c>
      <c r="C18" s="858">
        <f>IF(ISNUMBER(
   IF(Criterios!B14="SI",(Datos!J18-Datos!T18)/Datos!T18,(Datos!J18+Datos!AD18-(Datos!T18+Datos!AL18))/(Datos!T18+Datos!AL18))
     ),IF(Criterios!B14="SI",(Datos!J18-Datos!T18)/Datos!T18,(Datos!J18+Datos!AD18-(Datos!T18+Datos!AL18))/(Datos!T18+Datos!AL18))," - ")</f>
        <v>-0.1994459833795014</v>
      </c>
      <c r="D18" s="858">
        <f>IF(ISNUMBER(
   IF(Criterios!B14="SI",(Datos!K18-Datos!U18)/Datos!U18,(Datos!K18+Datos!AE18-(Datos!U18+Datos!AM18))/(Datos!U18+Datos!AM18))
     ),IF(Criterios!B14="SI",(Datos!K18-Datos!U18)/Datos!U18,(Datos!K18+Datos!AE18-(Datos!U18+Datos!AM18))/(Datos!U18+Datos!AM18))," - ")</f>
        <v>-0.39858490566037735</v>
      </c>
      <c r="E18" s="858">
        <f>IF(ISNUMBER(
   IF(Criterios!B14="SI",(Datos!L18-Datos!V18)/Datos!V18,(Datos!L18+Datos!AF18-(Datos!V18+Datos!AN18))/(Datos!V18+Datos!AN18))
     ),IF(Criterios!B14="SI",(Datos!L18-Datos!V18)/Datos!V18,(Datos!L18+Datos!AF18-(Datos!V18+Datos!AN18))/(Datos!V18+Datos!AN18))," - ")</f>
        <v>0.52777777777777779</v>
      </c>
      <c r="F18" s="859">
        <f>IF(ISNUMBER((Datos!M18-Datos!W18)/Datos!W18),(Datos!M18-Datos!W18)/Datos!W18," - ")</f>
        <v>-0.35294117647058826</v>
      </c>
      <c r="G18" s="860">
        <f>IF(ISNUMBER((Datos!N18-Datos!X18)/Datos!X18),(Datos!N18-Datos!X18)/Datos!X18," - ")</f>
        <v>-0.39163498098859317</v>
      </c>
      <c r="H18" s="860">
        <f>IF(ISNUMBER(((NºAsuntos!G18/NºAsuntos!E18)-Datos!BD18)/Datos!BD18),((NºAsuntos!G18/NºAsuntos!E18)-Datos!BD18)/Datos!BD18," - ")</f>
        <v>-0.24875138734739188</v>
      </c>
      <c r="I18" s="860">
        <f>IF(ISNUMBER(((NºAsuntos!I18/NºAsuntos!G18)-Datos!BE18)/Datos!BE18),((NºAsuntos!I18/NºAsuntos!G18)-Datos!BE18)/Datos!BE18," - ")</f>
        <v>1.5403050108932466</v>
      </c>
      <c r="J18" s="860">
        <f>IF(ISNUMBER((('Resol  Asuntos'!D18/NºAsuntos!G18)-Datos!BF18)/Datos!BF18),(('Resol  Asuntos'!D18/NºAsuntos!G18)-Datos!BF18)/Datos!BF18," - ")</f>
        <v>7.589388696655136E-2</v>
      </c>
      <c r="K18" s="860">
        <f>IF(ISNUMBER((((NºAsuntos!C18+NºAsuntos!E18)/NºAsuntos!G18)-Datos!BG18)/Datos!BG18),(((NºAsuntos!C18+NºAsuntos!E18)/NºAsuntos!G18)-Datos!BG18)/Datos!BG18," - ")</f>
        <v>0.215082956259427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-0.14569536423841059</v>
      </c>
      <c r="C19" s="805">
        <f>IF(ISNUMBER(
   IF(J_V="SI",(Datos!J19-Datos!T19)/Datos!T19,(Datos!J19+Datos!Z19-(Datos!T19+Datos!AH19))/(Datos!T19+Datos!AH19))
     ),IF(J_V="SI",(Datos!J19-Datos!T19)/Datos!T19,(Datos!J19+Datos!Z19-(Datos!T19+Datos!AH19))/(Datos!T19+Datos!AH19))," - ")</f>
        <v>-8.4639498432601878E-2</v>
      </c>
      <c r="D19" s="805">
        <f>IF(ISNUMBER(
   IF(J_V="SI",(Datos!K19-Datos!U19)/Datos!U19,(Datos!K19+Datos!AA19-(Datos!U19+Datos!AI19))/(Datos!U19+Datos!AI19))
     ),IF(J_V="SI",(Datos!K19-Datos!U19)/Datos!U19,(Datos!K19+Datos!AA19-(Datos!U19+Datos!AI19))/(Datos!U19+Datos!AI19))," - ")</f>
        <v>-0.30847953216374269</v>
      </c>
      <c r="E19" s="805">
        <f>IF(ISNUMBER(
   IF(J_V="SI",(Datos!L19-Datos!V19)/Datos!V19,(Datos!L19+Datos!AB19-(Datos!V19+Datos!AJ19))/(Datos!V19+Datos!AJ19))
     ),IF(J_V="SI",(Datos!L19-Datos!V19)/Datos!V19,(Datos!L19+Datos!AB19-(Datos!V19+Datos!AJ19))/(Datos!V19+Datos!AJ19))," - ")</f>
        <v>0.44573643410852715</v>
      </c>
      <c r="F19" s="806">
        <f>IF(ISNUMBER((Datos!M19-Datos!W19)/Datos!W19),(Datos!M19-Datos!W19)/Datos!W19," - ")</f>
        <v>-0.15044247787610621</v>
      </c>
      <c r="G19" s="807">
        <f>IF(ISNUMBER((Datos!N19-Datos!X19)/Datos!X19),(Datos!N19-Datos!X19)/Datos!X19," - ")</f>
        <v>-0.43902439024390244</v>
      </c>
      <c r="H19" s="808">
        <f>IF(ISNUMBER((Tasas!B19-Datos!BD19)/Datos!BD19),(Tasas!B19-Datos!BD19)/Datos!BD19," - ")</f>
        <v>-0.24453757109669155</v>
      </c>
      <c r="I19" s="809">
        <f>IF(ISNUMBER((Tasas!C19-Datos!BE19)/Datos!BE19),(Tasas!C19-Datos!BE19)/Datos!BE19," - ")</f>
        <v>1.0906632577806186</v>
      </c>
      <c r="J19" s="810">
        <f>IF(ISNUMBER((Tasas!D19-Datos!BF19)/Datos!BF19),(Tasas!D19-Datos!BF19)/Datos!BF19," - ")</f>
        <v>-0.35430453807955159</v>
      </c>
      <c r="K19" s="810">
        <f>IF(ISNUMBER((Tasas!E19-Datos!BG19)/Datos!BG19),(Tasas!E19-Datos!BG19)/Datos!BG19," - ")</f>
        <v>0.29532634609329311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7qqov9ubQ8Utq2F6KcnAl5r6nJ5GXwTjAyyxPfaQafhPjiXHG64QqeVrNfc3wVJyXN9fHQycesgLJI6af+f0w==" saltValue="8KMyzYrd017WCw8X4Pt5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LERMA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0.73898305084745763</v>
      </c>
      <c r="C12" s="446">
        <f>IF(ISNUMBER(NºAsuntos!I12/NºAsuntos!G12),NºAsuntos!I12/NºAsuntos!G12," - ")</f>
        <v>1.2064220183486238</v>
      </c>
      <c r="D12" s="447">
        <f>IF(ISNUMBER('Resol  Asuntos'!D12/NºAsuntos!G12),'Resol  Asuntos'!D12/NºAsuntos!G12," - ")</f>
        <v>0.23853211009174313</v>
      </c>
      <c r="E12" s="448">
        <f>IF(ISNUMBER((NºAsuntos!C12+NºAsuntos!E12)/NºAsuntos!G12),(NºAsuntos!C12+NºAsuntos!E12)/NºAsuntos!G12," - ")</f>
        <v>2.2064220183486238</v>
      </c>
      <c r="G12" s="466"/>
    </row>
    <row r="13" spans="1:7" ht="14.25" thickTop="1" thickBot="1">
      <c r="A13" s="851" t="str">
        <f>Datos!A13</f>
        <v>TOTAL</v>
      </c>
      <c r="B13" s="861">
        <f>IF(ISNUMBER(NºAsuntos!G13/NºAsuntos!E13),NºAsuntos!G13/NºAsuntos!E13," - ")</f>
        <v>0.73898305084745763</v>
      </c>
      <c r="C13" s="862">
        <f>IF(ISNUMBER(NºAsuntos!I13/NºAsuntos!G13),NºAsuntos!I13/NºAsuntos!G13," - ")</f>
        <v>1.2064220183486238</v>
      </c>
      <c r="D13" s="863">
        <f>IF(ISNUMBER('Resol  Asuntos'!D13/NºAsuntos!G13),'Resol  Asuntos'!D13/NºAsuntos!G13," - ")</f>
        <v>0.23853211009174313</v>
      </c>
      <c r="E13" s="864">
        <f>IF(ISNUMBER((NºAsuntos!C13+NºAsuntos!E13)/NºAsuntos!G13),(NºAsuntos!C13+NºAsuntos!E13)/NºAsuntos!G13," - ")</f>
        <v>2.2064220183486238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0.88191881918819193</v>
      </c>
      <c r="C16" s="446">
        <f>IF(ISNUMBER(NºAsuntos!I16/NºAsuntos!G16),NºAsuntos!I16/NºAsuntos!G16," - ")</f>
        <v>0.43096234309623432</v>
      </c>
      <c r="D16" s="447">
        <f>IF(ISNUMBER('Resol  Asuntos'!D16/NºAsuntos!G16),'Resol  Asuntos'!D16/NºAsuntos!G16," - ")</f>
        <v>0.17573221757322174</v>
      </c>
      <c r="E16" s="448">
        <f>IF(ISNUMBER((NºAsuntos!C16+NºAsuntos!E16)/NºAsuntos!G16),(NºAsuntos!C16+NºAsuntos!E16)/NºAsuntos!G16," - ")</f>
        <v>1.4142259414225942</v>
      </c>
      <c r="G16" s="466"/>
    </row>
    <row r="17" spans="1:7" ht="13.5" thickBot="1">
      <c r="A17" s="405" t="str">
        <f>Datos!A17</f>
        <v>Jdos. Violencia contra la mujer</v>
      </c>
      <c r="B17" s="445">
        <f>IF(ISNUMBER(NºAsuntos!G17/NºAsuntos!E17),NºAsuntos!G17/NºAsuntos!E17," - ")</f>
        <v>0.88888888888888884</v>
      </c>
      <c r="C17" s="446">
        <f>IF(ISNUMBER(NºAsuntos!I17/NºAsuntos!G17),NºAsuntos!I17/NºAsuntos!G17," - ")</f>
        <v>0.4375</v>
      </c>
      <c r="D17" s="447">
        <f>IF(ISNUMBER('Resol  Asuntos'!D17/NºAsuntos!G17),'Resol  Asuntos'!D17/NºAsuntos!G17," - ")</f>
        <v>0.125</v>
      </c>
      <c r="E17" s="448">
        <f>IF(ISNUMBER((NºAsuntos!C17+NºAsuntos!E17)/NºAsuntos!G17),(NºAsuntos!C17+NºAsuntos!E17)/NºAsuntos!G17," - ")</f>
        <v>1.4375</v>
      </c>
      <c r="G17" s="466"/>
    </row>
    <row r="18" spans="1:7" ht="14.25" thickTop="1" thickBot="1">
      <c r="A18" s="851" t="str">
        <f>Datos!A18</f>
        <v>TOTAL</v>
      </c>
      <c r="B18" s="861">
        <f>IF(ISNUMBER(NºAsuntos!G18/NºAsuntos!E18),NºAsuntos!G18/NºAsuntos!E18," - ")</f>
        <v>0.88235294117647056</v>
      </c>
      <c r="C18" s="862">
        <f>IF(ISNUMBER(NºAsuntos!I18/NºAsuntos!G18),NºAsuntos!I18/NºAsuntos!G18," - ")</f>
        <v>0.43137254901960786</v>
      </c>
      <c r="D18" s="865">
        <f>IF(ISNUMBER('Resol  Asuntos'!D18/NºAsuntos!G18),'Resol  Asuntos'!D18/NºAsuntos!G18," - ")</f>
        <v>0.17254901960784313</v>
      </c>
      <c r="E18" s="864">
        <f>IF(ISNUMBER((NºAsuntos!C18+NºAsuntos!E18)/NºAsuntos!G18),(NºAsuntos!C18+NºAsuntos!E18)/NºAsuntos!G18," - ")</f>
        <v>1.415686274509804</v>
      </c>
      <c r="G18" s="466"/>
    </row>
    <row r="19" spans="1:7" ht="15.75" customHeight="1" thickTop="1" thickBot="1">
      <c r="A19" s="796" t="str">
        <f>Datos!A19</f>
        <v>TOTAL JURISDICCIONES</v>
      </c>
      <c r="B19" s="811">
        <f>IF(ISNUMBER(NºAsuntos!G19/NºAsuntos!E19),NºAsuntos!G19/NºAsuntos!E19," - ")</f>
        <v>0.80993150684931503</v>
      </c>
      <c r="C19" s="812">
        <f>IF(ISNUMBER(NºAsuntos!I19/NºAsuntos!G19),NºAsuntos!I19/NºAsuntos!G19," - ")</f>
        <v>0.78858350951374212</v>
      </c>
      <c r="D19" s="813">
        <f>IF(ISNUMBER('Resol  Asuntos'!D19/NºAsuntos!G19),'Resol  Asuntos'!D19/NºAsuntos!G19," - ")</f>
        <v>0.20295983086680761</v>
      </c>
      <c r="E19" s="814">
        <f>IF(ISNUMBER((NºAsuntos!C19+NºAsuntos!E19)/NºAsuntos!G19),(NºAsuntos!C19+NºAsuntos!E19)/NºAsuntos!G19," - ")</f>
        <v>1.7801268498942917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hefqUJfX3zKVEQ+jAGzEvqqLfFB4p3chsOB6JZ5IPdyTvdE6ay9vGfPt3surVDOa2eO1uSbPkRtoFAR6Eyn3Q==" saltValue="o5Z1POt0b0BERB/9Nmq/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LERMA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v>
      </c>
      <c r="Y12" s="337">
        <f t="shared" si="0"/>
        <v>11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52</v>
      </c>
      <c r="AJ12" s="232" t="str">
        <f>IF(ISNUMBER(Datos!BW12),Datos!BW12," - ")</f>
        <v xml:space="preserve"> - </v>
      </c>
      <c r="AK12" s="231" t="str">
        <f>IF(ISNUMBER(Datos!BX12),Datos!BX12," - ")</f>
        <v xml:space="preserve"> - </v>
      </c>
      <c r="AL12" s="246">
        <f>IF(ISNUMBER(NºAsuntos!G12/NºAsuntos!E12),NºAsuntos!G12/NºAsuntos!E12," - ")</f>
        <v>0.73898305084745763</v>
      </c>
      <c r="AM12" s="263">
        <f>IF(ISNUMBER(((NºAsuntos!I12/NºAsuntos!G12)*11)/factor_trimestre),((NºAsuntos!I12/NºAsuntos!G12)*11)/factor_trimestre," - ")</f>
        <v>13.270642201834862</v>
      </c>
      <c r="AN12" s="247">
        <f>IF(ISNUMBER('Resol  Asuntos'!D12/NºAsuntos!G12),'Resol  Asuntos'!D12/NºAsuntos!G12," - ")</f>
        <v>0.23853211009174313</v>
      </c>
      <c r="AO12" s="248">
        <f>IF(ISNUMBER((NºAsuntos!C12+NºAsuntos!E12)/NºAsuntos!G12),(NºAsuntos!C12+NºAsuntos!E12)/NºAsuntos!G12," - ")</f>
        <v>2.2064220183486238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55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11</v>
      </c>
      <c r="Y13" s="871">
        <f t="shared" si="4"/>
        <v>11</v>
      </c>
      <c r="Z13" s="871">
        <f t="shared" si="4"/>
        <v>0</v>
      </c>
      <c r="AA13" s="871">
        <f t="shared" si="4"/>
        <v>0</v>
      </c>
      <c r="AB13" s="871">
        <f t="shared" si="4"/>
        <v>230</v>
      </c>
      <c r="AC13" s="871">
        <f t="shared" si="4"/>
        <v>0</v>
      </c>
      <c r="AD13" s="871">
        <f t="shared" si="4"/>
        <v>0</v>
      </c>
      <c r="AE13" s="875">
        <f t="shared" si="4"/>
        <v>0</v>
      </c>
      <c r="AF13" s="868">
        <f t="shared" si="4"/>
        <v>0</v>
      </c>
      <c r="AG13" s="876">
        <f t="shared" si="4"/>
        <v>0</v>
      </c>
      <c r="AH13" s="873">
        <f t="shared" si="4"/>
        <v>0</v>
      </c>
      <c r="AI13" s="868">
        <f t="shared" si="4"/>
        <v>52</v>
      </c>
      <c r="AJ13" s="870">
        <f t="shared" si="4"/>
        <v>0</v>
      </c>
      <c r="AK13" s="873">
        <f>SUBTOTAL(9,AK9:AK12)</f>
        <v>0</v>
      </c>
      <c r="AL13" s="877">
        <f>IF(ISNUMBER(NºAsuntos!G13/NºAsuntos!E13),NºAsuntos!G13/NºAsuntos!E13," - ")</f>
        <v>0.73898305084745763</v>
      </c>
      <c r="AM13" s="877">
        <f>IF(ISNUMBER(((NºAsuntos!I13/NºAsuntos!G13)*11)/factor_trimestre),((NºAsuntos!I13/NºAsuntos!G13)*11)/factor_trimestre," - ")</f>
        <v>13.270642201834862</v>
      </c>
      <c r="AN13" s="878">
        <f>IF(ISNUMBER('Resol  Asuntos'!D13/NºAsuntos!G13),'Resol  Asuntos'!D13/NºAsuntos!G13," - ")</f>
        <v>0.23853211009174313</v>
      </c>
      <c r="AO13" s="879">
        <f>IF(ISNUMBER((NºAsuntos!C13+NºAsuntos!E13)/NºAsuntos!G13),(NºAsuntos!C13+NºAsuntos!E13)/NºAsuntos!G13," - ")</f>
        <v>2.2064220183486238</v>
      </c>
      <c r="AP13" s="880" t="str">
        <f t="shared" si="2"/>
        <v xml:space="preserve"> - </v>
      </c>
      <c r="AQ13" s="880" t="str">
        <f>IF(ISNUMBER((H13-W13+K13)/(F13)),(H13-W13+K13)/(F13)," - ")</f>
        <v xml:space="preserve"> - </v>
      </c>
      <c r="AR13" s="881">
        <f>IF(ISNUMBER((Datos!P13-Datos!Q13)/(Datos!R13-Datos!P13+Datos!Q13)),(Datos!P13-Datos!Q13)/(Datos!R13-Datos!P13+Datos!Q13)," - ")</f>
        <v>0.23655913978494625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71</v>
      </c>
      <c r="G16" s="336">
        <f>IF(ISNUMBER(IF(D_I="SI",Datos!I16,Datos!I16+Datos!AC16)),IF(D_I="SI",Datos!I16,Datos!I16+Datos!AC16)," - ")</f>
        <v>67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239</v>
      </c>
      <c r="X16" s="229">
        <f>IF(ISNUMBER(Datos!Q16),Datos!Q16," - ")</f>
        <v>6</v>
      </c>
      <c r="Y16" s="337">
        <f t="shared" ref="Y16:Y17" si="7">SUM(W16:X16)</f>
        <v>245</v>
      </c>
      <c r="Z16" s="338" t="str">
        <f>IF(ISNUMBER(Datos!CC16),Datos!CC16," - ")</f>
        <v xml:space="preserve"> - </v>
      </c>
      <c r="AA16" s="335">
        <f>IF(ISNUMBER(IF(D_I="SI",Datos!L16,Datos!L16+Datos!AF16)),IF(D_I="SI",Datos!L16,Datos!L16+Datos!AF16)," - ")</f>
        <v>103</v>
      </c>
      <c r="AB16" s="337">
        <f>IF(ISNUMBER(Datos!R16),Datos!R16," - ")</f>
        <v>27</v>
      </c>
      <c r="AC16" s="337">
        <f t="shared" si="6"/>
        <v>130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42</v>
      </c>
      <c r="AJ16" s="234" t="str">
        <f>IF(ISNUMBER(Datos!BW16),Datos!BW16," - ")</f>
        <v xml:space="preserve"> - </v>
      </c>
      <c r="AK16" s="235" t="str">
        <f>IF(ISNUMBER(Datos!BX16),Datos!BX16," - ")</f>
        <v xml:space="preserve"> - </v>
      </c>
      <c r="AL16" s="246">
        <f>IF(ISNUMBER(NºAsuntos!G16/NºAsuntos!E16),NºAsuntos!G16/NºAsuntos!E16," - ")</f>
        <v>0.88191881918819193</v>
      </c>
      <c r="AM16" s="263">
        <f>IF(ISNUMBER(((NºAsuntos!I16/NºAsuntos!G16)*11)/factor_trimestre),((NºAsuntos!I16/NºAsuntos!G16)*11)/factor_trimestre," - ")</f>
        <v>4.7405857740585775</v>
      </c>
      <c r="AN16" s="247">
        <f>IF(ISNUMBER('Resol  Asuntos'!D16/NºAsuntos!G16),'Resol  Asuntos'!D16/NºAsuntos!G16," - ")</f>
        <v>0.17573221757322174</v>
      </c>
      <c r="AO16" s="248">
        <f>IF(ISNUMBER((NºAsuntos!C16+NºAsuntos!E16)/NºAsuntos!G16),(NºAsuntos!C16+NºAsuntos!E16)/NºAsuntos!G16," - ")</f>
        <v>1.4142259414225942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v>
      </c>
      <c r="X17" s="229">
        <f>IF(ISNUMBER(Datos!Q17),Datos!Q17," - ")</f>
        <v>0</v>
      </c>
      <c r="Y17" s="337">
        <f t="shared" si="7"/>
        <v>16</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0.88888888888888884</v>
      </c>
      <c r="AM17" s="263">
        <f>IF(ISNUMBER(((NºAsuntos!I17/NºAsuntos!G17)*11)/factor_trimestre),((NºAsuntos!I17/NºAsuntos!G17)*11)/factor_trimestre," - ")</f>
        <v>4.8125</v>
      </c>
      <c r="AN17" s="247">
        <f>IF(ISNUMBER('Resol  Asuntos'!D17/NºAsuntos!G17),'Resol  Asuntos'!D17/NºAsuntos!G17," - ")</f>
        <v>0.125</v>
      </c>
      <c r="AO17" s="248">
        <f>IF(ISNUMBER((NºAsuntos!C17+NºAsuntos!E17)/NºAsuntos!G17),(NºAsuntos!C17+NºAsuntos!E17)/NºAsuntos!G17," - ")</f>
        <v>1.4375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71</v>
      </c>
      <c r="G18" s="869">
        <f>SUBTOTAL(9,G15:G17)</f>
        <v>72</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255</v>
      </c>
      <c r="X18" s="870">
        <f t="shared" si="11"/>
        <v>6</v>
      </c>
      <c r="Y18" s="871">
        <f t="shared" si="11"/>
        <v>261</v>
      </c>
      <c r="Z18" s="871">
        <f t="shared" si="11"/>
        <v>0</v>
      </c>
      <c r="AA18" s="871">
        <f t="shared" si="11"/>
        <v>110</v>
      </c>
      <c r="AB18" s="871">
        <f t="shared" si="11"/>
        <v>27</v>
      </c>
      <c r="AC18" s="871">
        <f t="shared" si="11"/>
        <v>137</v>
      </c>
      <c r="AD18" s="871">
        <f t="shared" si="11"/>
        <v>0</v>
      </c>
      <c r="AE18" s="875">
        <f t="shared" si="11"/>
        <v>0</v>
      </c>
      <c r="AF18" s="868">
        <f t="shared" si="11"/>
        <v>0</v>
      </c>
      <c r="AG18" s="876">
        <f t="shared" si="11"/>
        <v>0</v>
      </c>
      <c r="AH18" s="873">
        <f t="shared" si="11"/>
        <v>0</v>
      </c>
      <c r="AI18" s="868">
        <f t="shared" si="11"/>
        <v>44</v>
      </c>
      <c r="AJ18" s="870">
        <f t="shared" si="11"/>
        <v>0</v>
      </c>
      <c r="AK18" s="873">
        <f t="shared" si="11"/>
        <v>0</v>
      </c>
      <c r="AL18" s="877">
        <f>IF(ISNUMBER(NºAsuntos!G18/NºAsuntos!E18),NºAsuntos!G18/NºAsuntos!E18," - ")</f>
        <v>0.88235294117647056</v>
      </c>
      <c r="AM18" s="877">
        <f>IF(ISNUMBER(((NºAsuntos!I18/NºAsuntos!G18)*11)/factor_trimestre),((NºAsuntos!I18/NºAsuntos!G18)*11)/factor_trimestre," - ")</f>
        <v>4.7450980392156863</v>
      </c>
      <c r="AN18" s="878">
        <f>IF(ISNUMBER('Resol  Asuntos'!D18/NºAsuntos!G18),'Resol  Asuntos'!D18/NºAsuntos!G18," - ")</f>
        <v>0.17254901960784313</v>
      </c>
      <c r="AO18" s="879">
        <f>IF(ISNUMBER((NºAsuntos!C18+NºAsuntos!E18)/NºAsuntos!G18),(NºAsuntos!C18+NºAsuntos!E18)/NºAsuntos!G18," - ")</f>
        <v>1.415686274509804</v>
      </c>
      <c r="AP18" s="880" t="str">
        <f t="shared" si="2"/>
        <v xml:space="preserve"> - </v>
      </c>
      <c r="AQ18" s="880">
        <f>IF(ISNUMBER((H18-W18+K18)/(F18)),(H18-W18+K18)/(F18)," - ")</f>
        <v>-3.591549295774648</v>
      </c>
      <c r="AR18" s="881">
        <f>IF(ISNUMBER((Datos!P18-Datos!Q18)/(Datos!R18-Datos!P18+Datos!Q18)),(Datos!P18-Datos!Q18)/(Datos!R18-Datos!P18+Datos!Q18)," - ")</f>
        <v>0.17391304347826086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71</v>
      </c>
      <c r="G19" s="824">
        <f t="shared" si="13"/>
        <v>72</v>
      </c>
      <c r="H19" s="823">
        <f t="shared" si="13"/>
        <v>0</v>
      </c>
      <c r="I19" s="825">
        <f t="shared" si="13"/>
        <v>0</v>
      </c>
      <c r="J19" s="825">
        <f t="shared" si="13"/>
        <v>0</v>
      </c>
      <c r="K19" s="884">
        <f t="shared" si="13"/>
        <v>0</v>
      </c>
      <c r="L19" s="825">
        <f t="shared" si="13"/>
        <v>65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255</v>
      </c>
      <c r="X19" s="824">
        <f t="shared" si="14"/>
        <v>17</v>
      </c>
      <c r="Y19" s="831">
        <f t="shared" si="14"/>
        <v>272</v>
      </c>
      <c r="Z19" s="831">
        <f t="shared" si="14"/>
        <v>0</v>
      </c>
      <c r="AA19" s="831">
        <f t="shared" si="14"/>
        <v>110</v>
      </c>
      <c r="AB19" s="831">
        <f t="shared" si="14"/>
        <v>257</v>
      </c>
      <c r="AC19" s="831">
        <f t="shared" si="14"/>
        <v>137</v>
      </c>
      <c r="AD19" s="831">
        <f t="shared" si="14"/>
        <v>0</v>
      </c>
      <c r="AE19" s="833">
        <f t="shared" si="14"/>
        <v>0</v>
      </c>
      <c r="AF19" s="834">
        <f t="shared" si="14"/>
        <v>0</v>
      </c>
      <c r="AG19" s="835">
        <f t="shared" si="14"/>
        <v>0</v>
      </c>
      <c r="AH19" s="833">
        <f t="shared" si="14"/>
        <v>0</v>
      </c>
      <c r="AI19" s="823">
        <f t="shared" si="14"/>
        <v>96</v>
      </c>
      <c r="AJ19" s="823">
        <f t="shared" si="14"/>
        <v>0</v>
      </c>
      <c r="AK19" s="833">
        <f t="shared" si="14"/>
        <v>0</v>
      </c>
      <c r="AL19" s="887">
        <f>IF(ISNUMBER(NºAsuntos!G19/NºAsuntos!E19),NºAsuntos!G19/NºAsuntos!E19," - ")</f>
        <v>0.80993150684931503</v>
      </c>
      <c r="AM19" s="888">
        <f>IF(ISNUMBER(((NºAsuntos!I19/NºAsuntos!G19)*11)/factor_trimestre),((NºAsuntos!I19/NºAsuntos!G19)*11)/factor_trimestre," - ")</f>
        <v>8.674418604651164</v>
      </c>
      <c r="AN19" s="888">
        <f>IF(ISNUMBER('Resol  Asuntos'!D19/NºAsuntos!G19),'Resol  Asuntos'!D19/NºAsuntos!G19," - ")</f>
        <v>0.20295983086680761</v>
      </c>
      <c r="AO19" s="889">
        <f>IF(ISNUMBER((NºAsuntos!C19+NºAsuntos!E19)/NºAsuntos!G19),(NºAsuntos!C19+NºAsuntos!E19)/NºAsuntos!G19," - ")</f>
        <v>1.7801268498942917</v>
      </c>
      <c r="AP19" s="890" t="str">
        <f t="shared" si="2"/>
        <v xml:space="preserve"> - </v>
      </c>
      <c r="AQ19" s="891">
        <f>IF(OR(ISNUMBER(FIND("01",Criterios!A8,1)),ISNUMBER(FIND("02",Criterios!A8,1)),ISNUMBER(FIND("03",Criterios!A8,1)),ISNUMBER(FIND("04",Criterios!A8,1))),(I19-W19+K19)/(F19-K19),(H19-W19+K19)/(F19-K19))</f>
        <v>-3.591549295774648</v>
      </c>
      <c r="AR19" s="892">
        <f>IF(ISNUMBER((Datos!P19-Datos!Q19)/(Datos!R19-Datos!P19+Datos!Q19)),(Datos!P19-Datos!Q19)/(Datos!R19-Datos!P19+Datos!Q19)," - ")</f>
        <v>0.22966507177033493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40.991869112463426</v>
      </c>
      <c r="G21" s="256">
        <f>IF(ISNUMBER(STDEV(G8:G18)),STDEV(G8:G18),"-")</f>
        <v>37.25184559186296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132.64803051685314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24.363907732545698</v>
      </c>
      <c r="AJ21" s="255">
        <f t="shared" si="18"/>
        <v>0</v>
      </c>
      <c r="AK21" s="257">
        <f t="shared" si="18"/>
        <v>0</v>
      </c>
      <c r="AL21" s="252">
        <f t="shared" si="18"/>
        <v>7.9688809801646193E-2</v>
      </c>
      <c r="AM21" s="253">
        <f t="shared" si="18"/>
        <v>4.65823789599298</v>
      </c>
      <c r="AN21" s="253">
        <f t="shared" si="18"/>
        <v>4.8589643659378047E-2</v>
      </c>
      <c r="AO21" s="254">
        <f t="shared" si="18"/>
        <v>0.42948673293598105</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RsIVTexbr/de56oQsTqw2zWVhsr4j/vnoFzLTAo9oOLmyItWWW411rI14j5U6VsjTARvYMlAAeZ6sGE78DD4w==" saltValue="4NR18tMX32GDoZW0a9+k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LERMA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0.15555555555555556</v>
      </c>
      <c r="I12" s="353">
        <f>IF(ISNUMBER((Tasas!C12-Datos!BE12)/Datos!BE12),(Tasas!C12-Datos!BE12)/Datos!BE12," - ")</f>
        <v>0.68639636973463547</v>
      </c>
      <c r="J12" s="352">
        <f>IF(ISNUMBER((Tasas!D12-Datos!BF12)/Datos!BF12),(Tasas!D12-Datos!BF12)/Datos!BF12," - ")</f>
        <v>-0.57810647194657672</v>
      </c>
      <c r="K12" s="354">
        <f>IF(ISNUMBER((Tasas!E12-Datos!BG12)/Datos!BG12),(Tasas!E12-Datos!BG12)/Datos!BG12," - ")</f>
        <v>0.28625498827498258</v>
      </c>
      <c r="M12" t="e">
        <f>IF(Monitorios="SI",Datos!CE12,0)</f>
        <v>#REF!</v>
      </c>
      <c r="N12" t="e">
        <f>IF(Monitorios="SI",Datos!CF12,0)</f>
        <v>#REF!</v>
      </c>
      <c r="O12" t="e">
        <f>IF(Monitorios="SI",Datos!CG12,0)</f>
        <v>#REF!</v>
      </c>
      <c r="P12" t="e">
        <f>IF(Monitorios="SI",Datos!CH12,0)</f>
        <v>#REF!</v>
      </c>
      <c r="Q12">
        <f>IF(J_V="SI",0,Datos!AG12)</f>
        <v>5</v>
      </c>
      <c r="R12">
        <f>IF(J_V="SI",0,Datos!AH12)</f>
        <v>17</v>
      </c>
      <c r="S12">
        <f>IF(J_V="SI",0,Datos!AI12)</f>
        <v>20</v>
      </c>
      <c r="T12">
        <f>IF(J_V="SI",0,Datos!AJ12)</f>
        <v>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0.15555555555555556</v>
      </c>
      <c r="I13" s="360">
        <f>IF(ISNUMBER((Tasas!C13-Datos!BE13)/Datos!BE13),(Tasas!C13-Datos!BE13)/Datos!BE13," - ")</f>
        <v>0.68639636973463547</v>
      </c>
      <c r="J13" s="358">
        <f>IF(ISNUMBER((Tasas!D13-Datos!BF13)/Datos!BF13),(Tasas!D13-Datos!BF13)/Datos!BF13," - ")</f>
        <v>-0.57810647194657672</v>
      </c>
      <c r="K13" s="361">
        <f>IF(ISNUMBER((Tasas!E13-Datos!BG13)/Datos!BG13),(Tasas!E13-Datos!BG13)/Datos!BG13," - ")</f>
        <v>0.28625498827498258</v>
      </c>
      <c r="M13" t="e">
        <f>IF(Monitorios="SI",Datos!CE13,0)</f>
        <v>#REF!</v>
      </c>
      <c r="N13" t="e">
        <f>IF(Monitorios="SI",Datos!CF13,0)</f>
        <v>#REF!</v>
      </c>
      <c r="O13" t="e">
        <f>IF(Monitorios="SI",Datos!CG13,0)</f>
        <v>#REF!</v>
      </c>
      <c r="P13" t="e">
        <f>IF(Monitorios="SI",Datos!CH13,0)</f>
        <v>#REF!</v>
      </c>
      <c r="Q13">
        <f>IF(J_V="SI",0,Datos!AG13)</f>
        <v>5</v>
      </c>
      <c r="R13">
        <f>IF(J_V="SI",0,Datos!AH13)</f>
        <v>17</v>
      </c>
      <c r="S13">
        <f>IF(J_V="SI",0,Datos!AI13)</f>
        <v>20</v>
      </c>
      <c r="T13">
        <f>IF(J_V="SI",0,Datos!AJ13)</f>
        <v>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-0.45528455284552843</v>
      </c>
      <c r="E16" s="351">
        <f>IF(ISNUMBER(
   IF(D_I="SI",(Datos!J16-Datos!T16)/Datos!T16,(Datos!J16+Datos!AD16-(Datos!T16+Datos!AL16))/(Datos!T16+Datos!AL16))
     ),IF(D_I="SI",(Datos!J16-Datos!T16)/Datos!T16,(Datos!J16+Datos!AD16-(Datos!T16+Datos!AL16))/(Datos!T16+Datos!AL16))," - ")</f>
        <v>-0.20527859237536658</v>
      </c>
      <c r="F16" s="351">
        <f>IF(ISNUMBER(
   IF(D_I="SI",(Datos!K16-Datos!U16)/Datos!U16,(Datos!K16+Datos!AE16-(Datos!U16+Datos!AM16))/(Datos!U16+Datos!AM16))
     ),IF(D_I="SI",(Datos!K16-Datos!U16)/Datos!U16,(Datos!K16+Datos!AE16-(Datos!U16+Datos!AM16))/(Datos!U16+Datos!AM16))," - ")</f>
        <v>-0.40100250626566414</v>
      </c>
      <c r="G16" s="352">
        <f>IF(ISNUMBER(
   IF(D_I="SI",(Datos!L16-Datos!V16)/Datos!V16,(Datos!L16+Datos!AF16-(Datos!V16+Datos!AN16))/(Datos!V16+Datos!AN16))
     ),IF(D_I="SI",(Datos!L16-Datos!V16)/Datos!V16,(Datos!L16+Datos!AF16-(Datos!V16+Datos!AN16))/(Datos!V16+Datos!AN16))," - ")</f>
        <v>0.53731343283582089</v>
      </c>
      <c r="H16" s="233">
        <f>IF(ISNUMBER((Datos!M16-Datos!W16)/Datos!W16),(Datos!M16-Datos!W16)/Datos!W16," - ")</f>
        <v>-0.36363636363636365</v>
      </c>
      <c r="I16" s="353">
        <f>IF(ISNUMBER((Tasas!C16-Datos!BE16)/Datos!BE16),(Tasas!C16-Datos!BE16)/Datos!BE16," - ")</f>
        <v>1.5664772372447389</v>
      </c>
      <c r="J16" s="352">
        <f>IF(ISNUMBER((Tasas!D16-Datos!BF16)/Datos!BF16),(Tasas!D16-Datos!BF16)/Datos!BF16," - ")</f>
        <v>6.2381133510840604E-2</v>
      </c>
      <c r="K16" s="354">
        <f>IF(ISNUMBER((Tasas!E16-Datos!BG16)/Datos!BG16),(Tasas!E16-Datos!BG16)/Datos!BG16," - ")</f>
        <v>0.21611239359399806</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-0.1</v>
      </c>
      <c r="F17" s="351">
        <f>IF(ISNUMBER(
   IF(D_I="SI",(Datos!K17-Datos!U17)/Datos!U17,(Datos!K17+Datos!AE17-(Datos!U17+Datos!AM17))/(Datos!U17+Datos!AM17))
     ),IF(D_I="SI",(Datos!K17-Datos!U17)/Datos!U17,(Datos!K17+Datos!AE17-(Datos!U17+Datos!AM17))/(Datos!U17+Datos!AM17))," - ")</f>
        <v>-0.36</v>
      </c>
      <c r="G17" s="352">
        <f>IF(ISNUMBER(
   IF(D_I="SI",(Datos!L17-Datos!V17)/Datos!V17,(Datos!L17+Datos!AF17-(Datos!V17+Datos!AN17))/(Datos!V17+Datos!AN17))
     ),IF(D_I="SI",(Datos!L17-Datos!V17)/Datos!V17,(Datos!L17+Datos!AF17-(Datos!V17+Datos!AN17))/(Datos!V17+Datos!AN17))," - ")</f>
        <v>0.4</v>
      </c>
      <c r="H17" s="233">
        <f>IF(ISNUMBER((Datos!M17-Datos!W17)/Datos!W17),(Datos!M17-Datos!W17)/Datos!W17," - ")</f>
        <v>0</v>
      </c>
      <c r="I17" s="353">
        <f>IF(ISNUMBER((Tasas!C17-Datos!BE17)/Datos!BE17),(Tasas!C17-Datos!BE17)/Datos!BE17," - ")</f>
        <v>1.1874999999999998</v>
      </c>
      <c r="J17" s="352">
        <f>IF(ISNUMBER((Tasas!D17-Datos!BF17)/Datos!BF17),(Tasas!D17-Datos!BF17)/Datos!BF17," - ")</f>
        <v>0.5625</v>
      </c>
      <c r="K17" s="354">
        <f>IF(ISNUMBER((Tasas!E17-Datos!BG17)/Datos!BG17),(Tasas!E17-Datos!BG17)/Datos!BG17," - ")</f>
        <v>0.19791666666666671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-0.45864661654135336</v>
      </c>
      <c r="E18" s="357">
        <f>IF(ISNUMBER(
   IF(D_I="SI",(Datos!J18-Datos!T18)/Datos!T18,(Datos!J18+Datos!AD18-(Datos!T18+Datos!AL18))/(Datos!T18+Datos!AL18))
     ),IF(D_I="SI",(Datos!J18-Datos!T18)/Datos!T18,(Datos!J18+Datos!AD18-(Datos!T18+Datos!AL18))/(Datos!T18+Datos!AL18))," - ")</f>
        <v>-0.1994459833795014</v>
      </c>
      <c r="F18" s="357">
        <f>IF(ISNUMBER(
   IF(D_I="SI",(Datos!K18-Datos!U18)/Datos!U18,(Datos!K18+Datos!AE18-(Datos!U18+Datos!AM18))/(Datos!U18+Datos!AM18))
     ),IF(D_I="SI",(Datos!K18-Datos!U18)/Datos!U18,(Datos!K18+Datos!AE18-(Datos!U18+Datos!AM18))/(Datos!U18+Datos!AM18))," - ")</f>
        <v>-0.39858490566037735</v>
      </c>
      <c r="G18" s="358">
        <f>IF(ISNUMBER(
   IF(D_I="SI",(Datos!L18-Datos!V18)/Datos!V18,(Datos!L18+Datos!AF18-(Datos!V18+Datos!AN18))/(Datos!V18+Datos!AN18))
     ),IF(D_I="SI",(Datos!L18-Datos!V18)/Datos!V18,(Datos!L18+Datos!AF18-(Datos!V18+Datos!AN18))/(Datos!V18+Datos!AN18))," - ")</f>
        <v>0.52777777777777779</v>
      </c>
      <c r="H18" s="359">
        <f>IF(ISNUMBER((Datos!M18-Datos!W18)/Datos!W18),(Datos!M18-Datos!W18)/Datos!W18," - ")</f>
        <v>-0.35294117647058826</v>
      </c>
      <c r="I18" s="360">
        <f>IF(ISNUMBER((Tasas!C18-Datos!BE18)/Datos!BE18),(Tasas!C18-Datos!BE18)/Datos!BE18," - ")</f>
        <v>1.5403050108932466</v>
      </c>
      <c r="J18" s="358">
        <f>IF(ISNUMBER((Tasas!D18-Datos!BF18)/Datos!BF18),(Tasas!D18-Datos!BF18)/Datos!BF18," - ")</f>
        <v>7.589388696655136E-2</v>
      </c>
      <c r="K18" s="361">
        <f>IF(ISNUMBER((Tasas!E18-Datos!BG18)/Datos!BG18),(Tasas!E18-Datos!BG18)/Datos!BG18," - ")</f>
        <v>0.215082956259427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-0.14569536423841059</v>
      </c>
      <c r="E19" s="366">
        <f>IF(ISNUMBER(
   IF(J_V="SI",(Datos!J19-Datos!T19)/Datos!T19,(Datos!J19+Datos!Z19-(Datos!T19+Datos!AH19))/(Datos!T19+Datos!AH19))
     ),IF(J_V="SI",(Datos!J19-Datos!T19)/Datos!T19,(Datos!J19+Datos!Z19-(Datos!T19+Datos!AH19))/(Datos!T19+Datos!AH19))," - ")</f>
        <v>-8.4639498432601878E-2</v>
      </c>
      <c r="F19" s="366">
        <f>IF(ISNUMBER(
   IF(J_V="SI",(Datos!K19-Datos!U19)/Datos!U19,(Datos!K19+Datos!AA19-(Datos!U19+Datos!AI19))/(Datos!U19+Datos!AI19))
     ),IF(J_V="SI",(Datos!K19-Datos!U19)/Datos!U19,(Datos!K19+Datos!AA19-(Datos!U19+Datos!AI19))/(Datos!U19+Datos!AI19))," - ")</f>
        <v>-0.30847953216374269</v>
      </c>
      <c r="G19" s="367">
        <f>IF(ISNUMBER(
   IF(J_V="SI",(Datos!L19-Datos!V19)/Datos!V19,(Datos!L19+Datos!AB19-(Datos!V19+Datos!AJ19))/(Datos!V19+Datos!AJ19))
     ),IF(J_V="SI",(Datos!L19-Datos!V19)/Datos!V19,(Datos!L19+Datos!AB19-(Datos!V19+Datos!AJ19))/(Datos!V19+Datos!AJ19))," - ")</f>
        <v>0.44573643410852715</v>
      </c>
      <c r="H19" s="368">
        <f>IF(ISNUMBER((Datos!M19-Datos!W19)/Datos!W19),(Datos!M19-Datos!W19)/Datos!W19," - ")</f>
        <v>-0.15044247787610621</v>
      </c>
      <c r="I19" s="365">
        <f>IF(ISNUMBER((Tasas!C19-Datos!BE19)/Datos!BE19),(Tasas!C19-Datos!BE19)/Datos!BE19," - ")</f>
        <v>1.0906632577806186</v>
      </c>
      <c r="J19" s="366">
        <f>IF(ISNUMBER((Tasas!D19-Datos!BF19)/Datos!BF19),(Tasas!D19-Datos!BF19)/Datos!BF19," - ")</f>
        <v>-0.35430453807955159</v>
      </c>
      <c r="K19" s="367">
        <f>IF(ISNUMBER((Tasas!E19-Datos!BG19)/Datos!BG19),(Tasas!E19-Datos!BG19)/Datos!BG19," - ")</f>
        <v>0.29532634609329311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2.4902734153759747E-2</v>
      </c>
      <c r="E21" s="281">
        <f t="shared" si="1"/>
        <v>5.9170804949954518E-2</v>
      </c>
      <c r="F21" s="281">
        <f t="shared" si="1"/>
        <v>2.3006684744412628E-2</v>
      </c>
      <c r="G21" s="282">
        <f t="shared" si="1"/>
        <v>7.6673624374542837E-2</v>
      </c>
      <c r="H21" s="288">
        <f t="shared" si="1"/>
        <v>0.26091825143471076</v>
      </c>
      <c r="I21" s="280">
        <f t="shared" si="1"/>
        <v>0.43464896213087034</v>
      </c>
      <c r="J21" s="281">
        <f t="shared" si="1"/>
        <v>0.48810526100754459</v>
      </c>
      <c r="K21" s="282">
        <f t="shared" si="1"/>
        <v>4.254704884406163E-2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0Vtzc0bh6ocX4KVS8CBI92ICWJ+Xa2LKTUsxSQhB9uefY2vN4GtEX6JOuQwxryboua6CDWsO+FAphFjbnUT2Q==" saltValue="q/87G0EyR8hEymi2ovW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